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120" windowHeight="8448" activeTab="0"/>
  </bookViews>
  <sheets>
    <sheet name="Data Entry" sheetId="1" r:id="rId1"/>
    <sheet name="Wheat (Moist) Crop" sheetId="2" r:id="rId2"/>
    <sheet name="Wheat (Dry) Crop" sheetId="3" r:id="rId3"/>
    <sheet name="Wheat (Arid) Crop" sheetId="4" r:id="rId4"/>
    <sheet name="Barley (Moist) Crop" sheetId="5" r:id="rId5"/>
    <sheet name="Barley (Dry) Crop" sheetId="6" r:id="rId6"/>
    <sheet name="Barley (Arid) Crop" sheetId="7" r:id="rId7"/>
    <sheet name="Canola Crop" sheetId="8" r:id="rId8"/>
    <sheet name="Canola (hybrid) Crop" sheetId="9" r:id="rId9"/>
    <sheet name="Wheat (Moist) MR" sheetId="10" r:id="rId10"/>
    <sheet name="Wheat (Dry) MR" sheetId="11" r:id="rId11"/>
    <sheet name="Wheat (Arid) MR" sheetId="12" r:id="rId12"/>
    <sheet name="Barley (Moist) MR" sheetId="13" r:id="rId13"/>
    <sheet name="Barley (Dry) MR" sheetId="14" r:id="rId14"/>
    <sheet name="Barley (Arid) MR" sheetId="15" r:id="rId15"/>
    <sheet name="Canola MR" sheetId="16" r:id="rId16"/>
    <sheet name="Canola (hybrid) MR" sheetId="17" r:id="rId17"/>
    <sheet name="Wheat (Moist) Fertilizer" sheetId="18" r:id="rId18"/>
    <sheet name="Wheat (Dry) Fertilizer" sheetId="19" r:id="rId19"/>
    <sheet name="Wheat (Arid) Fertilizer" sheetId="20" r:id="rId20"/>
    <sheet name="Barley (Moist) Fertilizer" sheetId="21" r:id="rId21"/>
    <sheet name="Barley (Dry) Fertilizer" sheetId="22" r:id="rId22"/>
    <sheet name="Barley (Arid) Fertilizer" sheetId="23" r:id="rId23"/>
    <sheet name="Canola Fertilizer" sheetId="24" r:id="rId24"/>
    <sheet name="Canola (hybrid) Fertilizer" sheetId="25" r:id="rId25"/>
  </sheets>
  <definedNames/>
  <calcPr fullCalcOnLoad="1"/>
</workbook>
</file>

<file path=xl/sharedStrings.xml><?xml version="1.0" encoding="utf-8"?>
<sst xmlns="http://schemas.openxmlformats.org/spreadsheetml/2006/main" count="1002" uniqueCount="116">
  <si>
    <t>Yellow Cells Can be Modified</t>
  </si>
  <si>
    <t>Fertilizer Type</t>
  </si>
  <si>
    <t>UREA</t>
  </si>
  <si>
    <t>Cost/ton</t>
  </si>
  <si>
    <t>%N</t>
  </si>
  <si>
    <t>Cost/Unit of N</t>
  </si>
  <si>
    <t xml:space="preserve">Yield </t>
  </si>
  <si>
    <t>Increase</t>
  </si>
  <si>
    <r>
      <t>Net Return ($/ac.)</t>
    </r>
    <r>
      <rPr>
        <b/>
        <sz val="11"/>
        <color indexed="10"/>
        <rFont val="Arial"/>
        <family val="2"/>
      </rPr>
      <t>**</t>
    </r>
  </si>
  <si>
    <t>N Rate</t>
  </si>
  <si>
    <r>
      <t>from 0 lb. N</t>
    </r>
    <r>
      <rPr>
        <b/>
        <sz val="11"/>
        <color indexed="10"/>
        <rFont val="Arial"/>
        <family val="2"/>
      </rPr>
      <t>*</t>
    </r>
  </si>
  <si>
    <t>(lb./acre)</t>
  </si>
  <si>
    <t>(bu./ac.)</t>
  </si>
  <si>
    <r>
      <t>Current N Rate</t>
    </r>
    <r>
      <rPr>
        <b/>
        <sz val="10"/>
        <color indexed="10"/>
        <rFont val="Wingdings"/>
        <family val="0"/>
      </rPr>
      <t>è</t>
    </r>
  </si>
  <si>
    <t>Expected Hybrid Canola Price</t>
  </si>
  <si>
    <t>Canola:N Price Ratio</t>
  </si>
  <si>
    <t xml:space="preserve">  Current N rate from your soil test report or common practice</t>
  </si>
  <si>
    <t>Expected CWRS Wheat Price</t>
  </si>
  <si>
    <t>CWRS Wheat:N Price Ratio</t>
  </si>
  <si>
    <t>**Net Return = (wheat price x yield increase) - (N price x N rate)</t>
  </si>
  <si>
    <t>Fertilizer N</t>
  </si>
  <si>
    <t>incremement</t>
  </si>
  <si>
    <t>Expected Barley Price</t>
  </si>
  <si>
    <t>Barley:N Price Ratio</t>
  </si>
  <si>
    <t>**Net Return = (barley price x yield increase) - (N price x N rate)</t>
  </si>
  <si>
    <t>**Net Return = canola price x yield increase) - (N price x N rate)</t>
  </si>
  <si>
    <t>Expected Canola Price</t>
  </si>
  <si>
    <t>**Net Return = (canola price x yield increase) - (N price x N rate)</t>
  </si>
  <si>
    <t>increment, $</t>
  </si>
  <si>
    <t>Soil test N (0-24")</t>
  </si>
  <si>
    <t>lb N/acre</t>
  </si>
  <si>
    <t>CWRS Wheat</t>
  </si>
  <si>
    <t>Barley</t>
  </si>
  <si>
    <t>Canola</t>
  </si>
  <si>
    <t>Canola (hybrid)</t>
  </si>
  <si>
    <t>Current N Rate (lb N/acre):</t>
  </si>
  <si>
    <t>Expected prices ($/bushel):</t>
  </si>
  <si>
    <t>Cost/tonne</t>
  </si>
  <si>
    <t>within $1.00 of maximum</t>
  </si>
  <si>
    <t>Fertilizer N data</t>
  </si>
  <si>
    <t>Nitrogen $ Rate of Return Calculator</t>
  </si>
  <si>
    <t>MY</t>
  </si>
  <si>
    <t>MR/MC</t>
  </si>
  <si>
    <t>Moist</t>
  </si>
  <si>
    <t xml:space="preserve">Dry </t>
  </si>
  <si>
    <t>Arid</t>
  </si>
  <si>
    <t>Crop and Economic data</t>
  </si>
  <si>
    <t>Manitoba (Moist)</t>
  </si>
  <si>
    <t>Manitoba (Dry)</t>
  </si>
  <si>
    <t>Manitoba (Arid)</t>
  </si>
  <si>
    <t>*Yield responses are averages from 25-site years</t>
  </si>
  <si>
    <t>*Yield responses are averages from 67-site years</t>
  </si>
  <si>
    <t>*Yield responses are averages from 55-site years</t>
  </si>
  <si>
    <t>*Yield responses are averages from 18-site years</t>
  </si>
  <si>
    <t>*Yield responses are averages from 70-site years</t>
  </si>
  <si>
    <t>*Yield responses are averages from 9-site years</t>
  </si>
  <si>
    <t>Fertilizer price</t>
  </si>
  <si>
    <t>increment, $/tonne</t>
  </si>
  <si>
    <t>Crop</t>
  </si>
  <si>
    <t>WHEAT</t>
  </si>
  <si>
    <t>$/bushel</t>
  </si>
  <si>
    <t>Crop/Fertilizer N data</t>
  </si>
  <si>
    <t>BARLEY</t>
  </si>
  <si>
    <t>Expected N Fertilizer Price</t>
  </si>
  <si>
    <t>CANOLA</t>
  </si>
  <si>
    <t>Manitoba (All)</t>
  </si>
  <si>
    <t xml:space="preserve">*Yield responses are averages from 34-site years </t>
  </si>
  <si>
    <t>Average</t>
  </si>
  <si>
    <t>yield</t>
  </si>
  <si>
    <t>Go to Marginal Return Chart</t>
  </si>
  <si>
    <t>Go to Fertilizer Price as a Variable</t>
  </si>
  <si>
    <t>Nitrogen Rate of Return Calculator</t>
  </si>
  <si>
    <t>Wheat, Barley, Canola &amp; Hybrid Canola</t>
  </si>
  <si>
    <t>Manitoba</t>
  </si>
  <si>
    <r>
      <t>Marginal Return ($/$1 spent on N)</t>
    </r>
    <r>
      <rPr>
        <b/>
        <sz val="11"/>
        <color indexed="10"/>
        <rFont val="Arial"/>
        <family val="2"/>
      </rPr>
      <t>**</t>
    </r>
  </si>
  <si>
    <t>Go to Fertilizer as a variable</t>
  </si>
  <si>
    <t>Go to Fertilizer as variable</t>
  </si>
  <si>
    <t>Go to Marginal return Chart</t>
  </si>
  <si>
    <t>Go to Marginal Cost Chart</t>
  </si>
  <si>
    <t>Return to Wheat (Moist) as variable</t>
  </si>
  <si>
    <t>Return to Wheat (Moist)  as variable</t>
  </si>
  <si>
    <t>Return to Wheat (dry) as variable</t>
  </si>
  <si>
    <t>Return to Wheat (Dry) as variable</t>
  </si>
  <si>
    <t>Return to Wheat (Arid) as variable</t>
  </si>
  <si>
    <t>Return to Barley (Arid) as variable</t>
  </si>
  <si>
    <t>Return to Barley (Moist ) as variable</t>
  </si>
  <si>
    <t>Return to Barley (Moist) as variable</t>
  </si>
  <si>
    <t>Return to Barley (Dry) as variable</t>
  </si>
  <si>
    <t>Return to Canola (hybrid) as variable</t>
  </si>
  <si>
    <r>
      <t xml:space="preserve">Net return in blue represents maximum </t>
    </r>
    <r>
      <rPr>
        <sz val="8"/>
        <color indexed="12"/>
        <rFont val="Arial"/>
        <family val="2"/>
      </rPr>
      <t>±</t>
    </r>
    <r>
      <rPr>
        <sz val="8"/>
        <color indexed="12"/>
        <rFont val="Arial"/>
        <family val="2"/>
      </rPr>
      <t xml:space="preserve"> $0.50 for the CWRS Wheat:N Price Ratio range in this table </t>
    </r>
    <r>
      <rPr>
        <sz val="8"/>
        <color indexed="53"/>
        <rFont val="Arial"/>
        <family val="2"/>
      </rPr>
      <t>and in Orange</t>
    </r>
  </si>
  <si>
    <t>** MY=marginal yield is the yield difference as a result of a fertilizer rate increase of</t>
  </si>
  <si>
    <r>
      <t xml:space="preserve">Net return in blue represents maximum </t>
    </r>
    <r>
      <rPr>
        <sz val="8"/>
        <color indexed="12"/>
        <rFont val="Arial"/>
        <family val="2"/>
      </rPr>
      <t>±</t>
    </r>
    <r>
      <rPr>
        <sz val="8"/>
        <color indexed="12"/>
        <rFont val="Arial"/>
        <family val="2"/>
      </rPr>
      <t xml:space="preserve"> $0.50 for the Barley:N Price Ratio range in this table </t>
    </r>
    <r>
      <rPr>
        <sz val="8"/>
        <color indexed="53"/>
        <rFont val="Arial"/>
        <family val="2"/>
      </rPr>
      <t>and in Orange</t>
    </r>
  </si>
  <si>
    <r>
      <t xml:space="preserve">Net return in blue represents maximum </t>
    </r>
    <r>
      <rPr>
        <sz val="8"/>
        <color indexed="12"/>
        <rFont val="Arial"/>
        <family val="2"/>
      </rPr>
      <t>±</t>
    </r>
    <r>
      <rPr>
        <sz val="8"/>
        <color indexed="12"/>
        <rFont val="Arial"/>
        <family val="2"/>
      </rPr>
      <t xml:space="preserve"> $0.50 for the Canola:N Price Ratio range in this table </t>
    </r>
    <r>
      <rPr>
        <sz val="8"/>
        <color indexed="53"/>
        <rFont val="Arial"/>
        <family val="2"/>
      </rPr>
      <t>and in Orange</t>
    </r>
  </si>
  <si>
    <t>Crop to examine:</t>
  </si>
  <si>
    <t>Wheat (Moist)</t>
  </si>
  <si>
    <t>Wheat (Dry)</t>
  </si>
  <si>
    <t>Wheat (Arid)</t>
  </si>
  <si>
    <t>Barley (Moist)</t>
  </si>
  <si>
    <t>Barley (Dry)</t>
  </si>
  <si>
    <t>Barley (Arid)</t>
  </si>
  <si>
    <t>Return to Data Entry</t>
  </si>
  <si>
    <t>Return Canola as variable</t>
  </si>
  <si>
    <r>
      <t>MR/MC in blue represents 1.45 to 1.55 return</t>
    </r>
    <r>
      <rPr>
        <sz val="8"/>
        <color indexed="53"/>
        <rFont val="Arial"/>
        <family val="2"/>
      </rPr>
      <t xml:space="preserve"> and in orange within 10</t>
    </r>
    <r>
      <rPr>
        <sz val="8"/>
        <color indexed="53"/>
        <rFont val="Arial"/>
        <family val="2"/>
      </rPr>
      <t>¢</t>
    </r>
    <r>
      <rPr>
        <sz val="8"/>
        <color indexed="53"/>
        <rFont val="Arial"/>
        <family val="2"/>
      </rPr>
      <t xml:space="preserve"> either way.</t>
    </r>
  </si>
  <si>
    <t>Return to Canola Crop as variable</t>
  </si>
  <si>
    <r>
      <t>Net Return ($/ac.) Above Fertilizer Costs for Applied N</t>
    </r>
    <r>
      <rPr>
        <b/>
        <sz val="11"/>
        <color indexed="10"/>
        <rFont val="Arial"/>
        <family val="2"/>
      </rPr>
      <t>**</t>
    </r>
  </si>
  <si>
    <t>**Net Return = (wheat price x yield) - (N price x N rate)</t>
  </si>
  <si>
    <t>Go to Total Net Return Below</t>
  </si>
  <si>
    <t>**Net Return = (barley price x yield) - (N price x N rate)</t>
  </si>
  <si>
    <t>Return to Net Return</t>
  </si>
  <si>
    <t>**Net Return = (canola price x yield) - (N price x N rate)</t>
  </si>
  <si>
    <t>*Yield responses are averages from 34-site years</t>
  </si>
  <si>
    <r>
      <t xml:space="preserve">Net return in blue represents maximum </t>
    </r>
    <r>
      <rPr>
        <sz val="8"/>
        <color indexed="12"/>
        <rFont val="Arial"/>
        <family val="2"/>
      </rPr>
      <t>±</t>
    </r>
    <r>
      <rPr>
        <sz val="8"/>
        <color indexed="12"/>
        <rFont val="Arial"/>
        <family val="2"/>
      </rPr>
      <t xml:space="preserve"> $0.50 for the barley:N Price Ratio range in this table </t>
    </r>
    <r>
      <rPr>
        <sz val="8"/>
        <color indexed="53"/>
        <rFont val="Arial"/>
        <family val="2"/>
      </rPr>
      <t>and in Orange</t>
    </r>
  </si>
  <si>
    <r>
      <t>Disclaimer:</t>
    </r>
    <r>
      <rPr>
        <b/>
        <sz val="10"/>
        <rFont val="Arial"/>
        <family val="2"/>
      </rPr>
      <t xml:space="preserve"> </t>
    </r>
    <r>
      <rPr>
        <sz val="10"/>
        <rFont val="Arial"/>
        <family val="2"/>
      </rPr>
      <t xml:space="preserve"> The equations developed in this calculator are based on soil fertility plot studies carried out by Western Cooperative Fertilizer Limited over the period from 1989 to 2004 and approved by an Advisory Committee of government, university and private industry scientists.  The actual yield data equations are only best fit for the site-years mentioned for each crop and will not reflect responses of all fields on the Agroecological zones they represent.  Therefore, N responses may be different on individual farms, depending on management practices and agroecological conditions.</t>
    </r>
  </si>
  <si>
    <t>increment</t>
  </si>
  <si>
    <t>MR/MC=marginal yield/marginal cost, is the return on the last dollar spent on N.</t>
  </si>
  <si>
    <t>Crop price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</si>
</sst>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000"/>
    <numFmt numFmtId="174" formatCode="0.0"/>
    <numFmt numFmtId="175" formatCode="&quot;$&quot;#,##0.0"/>
    <numFmt numFmtId="176" formatCode="[&lt;=9999999]###\-####;###\-###\-####"/>
    <numFmt numFmtId="177" formatCode="&quot;$&quot;#,##0.00;[Red]&quot;$&quot;#,##0.00"/>
    <numFmt numFmtId="178" formatCode="&quot;$&quot;#,##0"/>
    <numFmt numFmtId="179" formatCode="&quot;$&quot;#,##0.0_);[Red]\(&quot;$&quot;#,##0.0\)"/>
    <numFmt numFmtId="180" formatCode="0.000"/>
  </numFmts>
  <fonts count="56">
    <font>
      <sz val="10"/>
      <name val="Arial"/>
      <family val="0"/>
    </font>
    <font>
      <b/>
      <sz val="16"/>
      <color indexed="9"/>
      <name val="Arial"/>
      <family val="2"/>
    </font>
    <font>
      <b/>
      <sz val="16"/>
      <color indexed="8"/>
      <name val="Arial"/>
      <family val="2"/>
    </font>
    <font>
      <b/>
      <sz val="10"/>
      <name val="Arial"/>
      <family val="2"/>
    </font>
    <font>
      <sz val="11"/>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10"/>
      <color indexed="10"/>
      <name val="Wingdings"/>
      <family val="0"/>
    </font>
    <font>
      <sz val="8"/>
      <color indexed="10"/>
      <name val="Arial"/>
      <family val="2"/>
    </font>
    <font>
      <sz val="8"/>
      <color indexed="12"/>
      <name val="Arial"/>
      <family val="2"/>
    </font>
    <font>
      <b/>
      <sz val="16"/>
      <name val="Arial"/>
      <family val="2"/>
    </font>
    <font>
      <sz val="8"/>
      <color indexed="53"/>
      <name val="Arial"/>
      <family val="2"/>
    </font>
    <font>
      <sz val="8"/>
      <name val="Arial"/>
      <family val="2"/>
    </font>
    <font>
      <u val="single"/>
      <sz val="10"/>
      <color indexed="12"/>
      <name val="Arial"/>
      <family val="2"/>
    </font>
    <font>
      <u val="single"/>
      <sz val="10"/>
      <color indexed="36"/>
      <name val="Arial"/>
      <family val="2"/>
    </font>
    <font>
      <b/>
      <u val="single"/>
      <sz val="10"/>
      <color indexed="12"/>
      <name val="Arial"/>
      <family val="2"/>
    </font>
    <font>
      <sz val="10"/>
      <color indexed="9"/>
      <name val="Arial"/>
      <family val="2"/>
    </font>
    <font>
      <b/>
      <u val="single"/>
      <sz val="10"/>
      <color indexed="10"/>
      <name val="Arial"/>
      <family val="2"/>
    </font>
    <font>
      <sz val="10"/>
      <color indexed="12"/>
      <name val="Arial"/>
      <family val="2"/>
    </font>
    <font>
      <b/>
      <u val="single"/>
      <sz val="10"/>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5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color indexed="63"/>
      </right>
      <top style="thin"/>
      <bottom style="thin"/>
    </border>
    <border>
      <left>
        <color indexed="63"/>
      </left>
      <right style="medium"/>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medium"/>
      <right style="medium">
        <color indexed="12"/>
      </right>
      <top style="medium">
        <color indexed="12"/>
      </top>
      <bottom style="medium">
        <color indexed="12"/>
      </bottom>
    </border>
    <border>
      <left>
        <color indexed="63"/>
      </left>
      <right style="medium"/>
      <top>
        <color indexed="63"/>
      </top>
      <bottom style="medium"/>
    </border>
    <border>
      <left style="thin"/>
      <right style="medium"/>
      <top>
        <color indexed="63"/>
      </top>
      <bottom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style="thin"/>
      <top>
        <color indexed="63"/>
      </top>
      <bottom style="thin"/>
    </border>
    <border>
      <left style="thin"/>
      <right style="medium"/>
      <top style="thin"/>
      <bottom>
        <color indexed="63"/>
      </botto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style="thin"/>
      <top style="medium"/>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medium"/>
      <top style="medium"/>
      <bottom style="thin"/>
    </border>
    <border>
      <left>
        <color indexed="63"/>
      </left>
      <right>
        <color indexed="63"/>
      </right>
      <top style="thin"/>
      <bottom>
        <color indexed="63"/>
      </bottom>
    </border>
    <border>
      <left style="medium"/>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83">
    <xf numFmtId="0" fontId="0" fillId="0" borderId="0" xfId="0" applyAlignment="1">
      <alignment/>
    </xf>
    <xf numFmtId="0" fontId="4" fillId="33" borderId="10" xfId="0" applyFont="1" applyFill="1" applyBorder="1" applyAlignment="1">
      <alignment horizontal="right"/>
    </xf>
    <xf numFmtId="0" fontId="4" fillId="33" borderId="10"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horizontal="right"/>
    </xf>
    <xf numFmtId="0" fontId="4" fillId="33" borderId="11" xfId="0" applyFont="1" applyFill="1" applyBorder="1" applyAlignment="1">
      <alignment horizontal="right"/>
    </xf>
    <xf numFmtId="0" fontId="4" fillId="33" borderId="13" xfId="0" applyFont="1" applyFill="1" applyBorder="1" applyAlignment="1">
      <alignment horizontal="right"/>
    </xf>
    <xf numFmtId="49" fontId="5" fillId="34" borderId="14" xfId="0" applyNumberFormat="1" applyFont="1" applyFill="1" applyBorder="1" applyAlignment="1" applyProtection="1">
      <alignment horizontal="center"/>
      <protection locked="0"/>
    </xf>
    <xf numFmtId="1" fontId="4" fillId="34" borderId="15" xfId="0" applyNumberFormat="1" applyFont="1" applyFill="1" applyBorder="1" applyAlignment="1" applyProtection="1">
      <alignment horizontal="center"/>
      <protection locked="0"/>
    </xf>
    <xf numFmtId="0" fontId="5" fillId="33" borderId="16" xfId="0" applyFont="1" applyFill="1" applyBorder="1" applyAlignment="1">
      <alignment/>
    </xf>
    <xf numFmtId="0" fontId="0" fillId="0" borderId="0" xfId="0" applyAlignment="1" applyProtection="1">
      <alignment/>
      <protection hidden="1"/>
    </xf>
    <xf numFmtId="0" fontId="0" fillId="0" borderId="0" xfId="0" applyAlignment="1" applyProtection="1">
      <alignment/>
      <protection hidden="1"/>
    </xf>
    <xf numFmtId="0" fontId="0" fillId="0" borderId="0" xfId="0" applyBorder="1" applyAlignment="1" applyProtection="1">
      <alignment/>
      <protection hidden="1"/>
    </xf>
    <xf numFmtId="0" fontId="1" fillId="0" borderId="1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0" fillId="0" borderId="17" xfId="0" applyBorder="1" applyAlignment="1" applyProtection="1">
      <alignment/>
      <protection hidden="1"/>
    </xf>
    <xf numFmtId="0" fontId="4" fillId="0" borderId="0" xfId="0" applyFont="1" applyAlignment="1" applyProtection="1">
      <alignment/>
      <protection hidden="1"/>
    </xf>
    <xf numFmtId="0" fontId="4" fillId="0" borderId="10" xfId="0" applyFont="1" applyBorder="1" applyAlignment="1" applyProtection="1">
      <alignment/>
      <protection hidden="1"/>
    </xf>
    <xf numFmtId="0" fontId="4" fillId="0" borderId="0" xfId="0" applyFont="1" applyBorder="1" applyAlignment="1" applyProtection="1">
      <alignment/>
      <protection hidden="1"/>
    </xf>
    <xf numFmtId="0" fontId="5" fillId="0" borderId="0" xfId="0" applyFont="1" applyBorder="1" applyAlignment="1" applyProtection="1">
      <alignment horizontal="center" vertical="justify"/>
      <protection hidden="1"/>
    </xf>
    <xf numFmtId="0" fontId="4" fillId="33" borderId="12" xfId="0" applyFont="1" applyFill="1" applyBorder="1" applyAlignment="1" applyProtection="1">
      <alignment horizontal="right"/>
      <protection hidden="1"/>
    </xf>
    <xf numFmtId="49" fontId="5" fillId="33" borderId="18" xfId="0" applyNumberFormat="1" applyFont="1" applyFill="1" applyBorder="1" applyAlignment="1" applyProtection="1">
      <alignment horizontal="center"/>
      <protection hidden="1"/>
    </xf>
    <xf numFmtId="0" fontId="4" fillId="0" borderId="19" xfId="0" applyFont="1" applyBorder="1" applyAlignment="1" applyProtection="1">
      <alignment/>
      <protection hidden="1"/>
    </xf>
    <xf numFmtId="0" fontId="4" fillId="0" borderId="20" xfId="0" applyFont="1" applyBorder="1" applyAlignment="1" applyProtection="1">
      <alignment/>
      <protection hidden="1"/>
    </xf>
    <xf numFmtId="0" fontId="0" fillId="0" borderId="21" xfId="0" applyBorder="1" applyAlignment="1" applyProtection="1">
      <alignment/>
      <protection hidden="1"/>
    </xf>
    <xf numFmtId="1" fontId="4" fillId="33" borderId="22" xfId="0" applyNumberFormat="1" applyFont="1" applyFill="1" applyBorder="1" applyAlignment="1" applyProtection="1">
      <alignment horizontal="center"/>
      <protection hidden="1"/>
    </xf>
    <xf numFmtId="172" fontId="6" fillId="35" borderId="0" xfId="0" applyNumberFormat="1" applyFont="1" applyFill="1" applyBorder="1" applyAlignment="1" applyProtection="1">
      <alignment horizontal="center"/>
      <protection hidden="1"/>
    </xf>
    <xf numFmtId="172" fontId="7" fillId="35" borderId="0" xfId="0" applyNumberFormat="1" applyFont="1" applyFill="1" applyBorder="1" applyAlignment="1" applyProtection="1">
      <alignment horizontal="center"/>
      <protection hidden="1"/>
    </xf>
    <xf numFmtId="172" fontId="6" fillId="35" borderId="17" xfId="0" applyNumberFormat="1"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4" fillId="33" borderId="10" xfId="0" applyFont="1" applyFill="1" applyBorder="1" applyAlignment="1" applyProtection="1">
      <alignment horizontal="right"/>
      <protection hidden="1"/>
    </xf>
    <xf numFmtId="0" fontId="3" fillId="33" borderId="23" xfId="0" applyFont="1" applyFill="1" applyBorder="1" applyAlignment="1" applyProtection="1">
      <alignment horizontal="center"/>
      <protection hidden="1"/>
    </xf>
    <xf numFmtId="0" fontId="5" fillId="0" borderId="10" xfId="0" applyFont="1" applyBorder="1" applyAlignment="1" applyProtection="1">
      <alignment horizontal="center"/>
      <protection hidden="1"/>
    </xf>
    <xf numFmtId="0" fontId="4" fillId="33" borderId="11" xfId="0" applyFont="1" applyFill="1" applyBorder="1" applyAlignment="1" applyProtection="1">
      <alignment horizontal="right"/>
      <protection hidden="1"/>
    </xf>
    <xf numFmtId="0" fontId="0" fillId="33" borderId="24" xfId="0" applyFill="1" applyBorder="1" applyAlignment="1" applyProtection="1">
      <alignment/>
      <protection hidden="1"/>
    </xf>
    <xf numFmtId="0" fontId="5" fillId="0" borderId="25" xfId="0" applyFont="1" applyBorder="1" applyAlignment="1" applyProtection="1">
      <alignment horizontal="center"/>
      <protection hidden="1"/>
    </xf>
    <xf numFmtId="0" fontId="5" fillId="0" borderId="26" xfId="0" applyFont="1" applyBorder="1" applyAlignment="1" applyProtection="1">
      <alignment horizontal="center"/>
      <protection hidden="1"/>
    </xf>
    <xf numFmtId="0" fontId="4" fillId="33" borderId="10" xfId="0" applyFont="1" applyFill="1" applyBorder="1" applyAlignment="1" applyProtection="1">
      <alignment/>
      <protection hidden="1"/>
    </xf>
    <xf numFmtId="175" fontId="3" fillId="33" borderId="22" xfId="0" applyNumberFormat="1" applyFont="1" applyFill="1" applyBorder="1" applyAlignment="1" applyProtection="1">
      <alignment horizontal="center"/>
      <protection hidden="1"/>
    </xf>
    <xf numFmtId="0" fontId="4" fillId="0" borderId="16" xfId="0" applyFont="1" applyBorder="1" applyAlignment="1" applyProtection="1">
      <alignment horizontal="center"/>
      <protection hidden="1"/>
    </xf>
    <xf numFmtId="0" fontId="4" fillId="0" borderId="27" xfId="0" applyFont="1" applyBorder="1" applyAlignment="1" applyProtection="1">
      <alignment horizontal="center"/>
      <protection hidden="1"/>
    </xf>
    <xf numFmtId="174" fontId="5" fillId="36" borderId="28" xfId="0" applyNumberFormat="1" applyFont="1" applyFill="1" applyBorder="1" applyAlignment="1" applyProtection="1">
      <alignment horizontal="center"/>
      <protection hidden="1"/>
    </xf>
    <xf numFmtId="174" fontId="5" fillId="36" borderId="29" xfId="0" applyNumberFormat="1" applyFont="1" applyFill="1" applyBorder="1" applyAlignment="1" applyProtection="1">
      <alignment horizontal="center"/>
      <protection hidden="1"/>
    </xf>
    <xf numFmtId="0" fontId="4" fillId="33" borderId="11" xfId="0" applyFont="1" applyFill="1" applyBorder="1" applyAlignment="1" applyProtection="1">
      <alignment/>
      <protection hidden="1"/>
    </xf>
    <xf numFmtId="0" fontId="5" fillId="35" borderId="16" xfId="0" applyFont="1" applyFill="1" applyBorder="1" applyAlignment="1" applyProtection="1">
      <alignment horizontal="center"/>
      <protection hidden="1"/>
    </xf>
    <xf numFmtId="0" fontId="3" fillId="33" borderId="22" xfId="0" applyFont="1" applyFill="1" applyBorder="1" applyAlignment="1" applyProtection="1">
      <alignment horizontal="center"/>
      <protection hidden="1"/>
    </xf>
    <xf numFmtId="0" fontId="4" fillId="33" borderId="24" xfId="0" applyFont="1" applyFill="1" applyBorder="1" applyAlignment="1" applyProtection="1">
      <alignment/>
      <protection hidden="1"/>
    </xf>
    <xf numFmtId="0" fontId="5" fillId="0" borderId="10" xfId="0" applyFont="1" applyBorder="1" applyAlignment="1" applyProtection="1">
      <alignment/>
      <protection hidden="1"/>
    </xf>
    <xf numFmtId="0" fontId="8" fillId="0" borderId="0" xfId="0" applyFont="1" applyBorder="1" applyAlignment="1" applyProtection="1">
      <alignment horizontal="right"/>
      <protection hidden="1"/>
    </xf>
    <xf numFmtId="0" fontId="8" fillId="0" borderId="10" xfId="0" applyFont="1" applyBorder="1" applyAlignment="1" applyProtection="1">
      <alignment horizontal="right"/>
      <protection hidden="1"/>
    </xf>
    <xf numFmtId="0" fontId="5" fillId="35" borderId="30" xfId="0" applyFont="1" applyFill="1" applyBorder="1" applyAlignment="1" applyProtection="1">
      <alignment horizontal="center"/>
      <protection hidden="1"/>
    </xf>
    <xf numFmtId="0" fontId="5" fillId="35" borderId="11" xfId="0" applyFont="1" applyFill="1" applyBorder="1" applyAlignment="1" applyProtection="1">
      <alignment horizontal="center"/>
      <protection hidden="1"/>
    </xf>
    <xf numFmtId="172" fontId="4" fillId="0" borderId="0" xfId="0" applyNumberFormat="1" applyFont="1" applyBorder="1" applyAlignment="1" applyProtection="1">
      <alignment/>
      <protection hidden="1"/>
    </xf>
    <xf numFmtId="0" fontId="10" fillId="0" borderId="0" xfId="0" applyFont="1" applyBorder="1" applyAlignment="1" applyProtection="1">
      <alignment horizontal="left" wrapText="1"/>
      <protection hidden="1"/>
    </xf>
    <xf numFmtId="0" fontId="0" fillId="0" borderId="10" xfId="0" applyBorder="1" applyAlignment="1" applyProtection="1">
      <alignment/>
      <protection hidden="1"/>
    </xf>
    <xf numFmtId="0" fontId="0" fillId="0" borderId="26" xfId="0" applyBorder="1" applyAlignment="1" applyProtection="1">
      <alignment/>
      <protection hidden="1"/>
    </xf>
    <xf numFmtId="0" fontId="0" fillId="0" borderId="31" xfId="0" applyBorder="1" applyAlignment="1" applyProtection="1">
      <alignment/>
      <protection hidden="1"/>
    </xf>
    <xf numFmtId="172" fontId="3" fillId="33" borderId="22" xfId="0" applyNumberFormat="1" applyFont="1" applyFill="1" applyBorder="1" applyAlignment="1" applyProtection="1">
      <alignment horizontal="center"/>
      <protection hidden="1"/>
    </xf>
    <xf numFmtId="178" fontId="4" fillId="34" borderId="32" xfId="0" applyNumberFormat="1" applyFont="1" applyFill="1" applyBorder="1" applyAlignment="1" applyProtection="1">
      <alignment horizontal="center"/>
      <protection locked="0"/>
    </xf>
    <xf numFmtId="178" fontId="4" fillId="33" borderId="18" xfId="0" applyNumberFormat="1" applyFont="1" applyFill="1" applyBorder="1" applyAlignment="1" applyProtection="1">
      <alignment horizontal="center"/>
      <protection hidden="1"/>
    </xf>
    <xf numFmtId="172" fontId="5" fillId="33" borderId="15" xfId="0" applyNumberFormat="1" applyFont="1" applyFill="1" applyBorder="1" applyAlignment="1" applyProtection="1">
      <alignment horizontal="center"/>
      <protection hidden="1"/>
    </xf>
    <xf numFmtId="172" fontId="5" fillId="33" borderId="22" xfId="0" applyNumberFormat="1" applyFont="1" applyFill="1" applyBorder="1" applyAlignment="1" applyProtection="1">
      <alignment horizontal="center"/>
      <protection hidden="1"/>
    </xf>
    <xf numFmtId="0" fontId="4" fillId="0" borderId="19" xfId="0" applyFont="1" applyFill="1" applyBorder="1" applyAlignment="1" applyProtection="1">
      <alignment/>
      <protection hidden="1"/>
    </xf>
    <xf numFmtId="0" fontId="4" fillId="0" borderId="20" xfId="0" applyFont="1" applyFill="1" applyBorder="1" applyAlignment="1" applyProtection="1">
      <alignment/>
      <protection hidden="1"/>
    </xf>
    <xf numFmtId="0" fontId="0" fillId="0" borderId="21" xfId="0" applyFill="1" applyBorder="1" applyAlignment="1" applyProtection="1">
      <alignment/>
      <protection hidden="1"/>
    </xf>
    <xf numFmtId="0" fontId="4" fillId="0" borderId="10" xfId="0" applyFont="1" applyFill="1" applyBorder="1" applyAlignment="1" applyProtection="1">
      <alignment/>
      <protection hidden="1"/>
    </xf>
    <xf numFmtId="0" fontId="4" fillId="0" borderId="0" xfId="0" applyFont="1" applyFill="1" applyBorder="1" applyAlignment="1" applyProtection="1">
      <alignment/>
      <protection hidden="1"/>
    </xf>
    <xf numFmtId="0" fontId="5" fillId="0" borderId="0" xfId="0" applyFont="1" applyFill="1" applyBorder="1" applyAlignment="1" applyProtection="1">
      <alignment horizontal="center" vertical="justify"/>
      <protection hidden="1"/>
    </xf>
    <xf numFmtId="0" fontId="0" fillId="0" borderId="0" xfId="0" applyFill="1" applyBorder="1" applyAlignment="1" applyProtection="1">
      <alignment/>
      <protection hidden="1"/>
    </xf>
    <xf numFmtId="0" fontId="0" fillId="0" borderId="17" xfId="0" applyFill="1" applyBorder="1" applyAlignment="1" applyProtection="1">
      <alignment/>
      <protection hidden="1"/>
    </xf>
    <xf numFmtId="0" fontId="5" fillId="0" borderId="0" xfId="0" applyFont="1" applyFill="1" applyBorder="1" applyAlignment="1" applyProtection="1">
      <alignment horizontal="center"/>
      <protection hidden="1"/>
    </xf>
    <xf numFmtId="0" fontId="5" fillId="0" borderId="10" xfId="0" applyFont="1" applyFill="1" applyBorder="1" applyAlignment="1" applyProtection="1">
      <alignment horizontal="center"/>
      <protection hidden="1"/>
    </xf>
    <xf numFmtId="0" fontId="5" fillId="0" borderId="25" xfId="0" applyFont="1" applyFill="1" applyBorder="1" applyAlignment="1" applyProtection="1">
      <alignment horizontal="center"/>
      <protection hidden="1"/>
    </xf>
    <xf numFmtId="0" fontId="5" fillId="0" borderId="26" xfId="0" applyFont="1" applyFill="1" applyBorder="1" applyAlignment="1" applyProtection="1">
      <alignment horizontal="center"/>
      <protection hidden="1"/>
    </xf>
    <xf numFmtId="0" fontId="4" fillId="0" borderId="16" xfId="0" applyFont="1" applyFill="1" applyBorder="1" applyAlignment="1" applyProtection="1">
      <alignment horizontal="center"/>
      <protection hidden="1"/>
    </xf>
    <xf numFmtId="0" fontId="4" fillId="0" borderId="27" xfId="0" applyFont="1" applyFill="1" applyBorder="1" applyAlignment="1" applyProtection="1">
      <alignment horizontal="center"/>
      <protection hidden="1"/>
    </xf>
    <xf numFmtId="0" fontId="0" fillId="0" borderId="25" xfId="0" applyFont="1" applyBorder="1" applyAlignment="1" applyProtection="1">
      <alignment/>
      <protection hidden="1"/>
    </xf>
    <xf numFmtId="0" fontId="10" fillId="0" borderId="0" xfId="0" applyFont="1" applyBorder="1" applyAlignment="1" applyProtection="1">
      <alignment/>
      <protection hidden="1"/>
    </xf>
    <xf numFmtId="0" fontId="10" fillId="0" borderId="10" xfId="0" applyFont="1" applyBorder="1" applyAlignment="1" applyProtection="1">
      <alignment/>
      <protection hidden="1"/>
    </xf>
    <xf numFmtId="0" fontId="11" fillId="0" borderId="10" xfId="0" applyFont="1" applyFill="1" applyBorder="1" applyAlignment="1" applyProtection="1">
      <alignment horizontal="left"/>
      <protection hidden="1"/>
    </xf>
    <xf numFmtId="0" fontId="11" fillId="0" borderId="0" xfId="0" applyFont="1" applyFill="1" applyBorder="1" applyAlignment="1" applyProtection="1">
      <alignment horizontal="left"/>
      <protection hidden="1"/>
    </xf>
    <xf numFmtId="0" fontId="0" fillId="0" borderId="26" xfId="0" applyFont="1" applyBorder="1" applyAlignment="1" applyProtection="1">
      <alignment/>
      <protection hidden="1"/>
    </xf>
    <xf numFmtId="0" fontId="4" fillId="33" borderId="33" xfId="0" applyFont="1" applyFill="1" applyBorder="1" applyAlignment="1">
      <alignment/>
    </xf>
    <xf numFmtId="172" fontId="4" fillId="33" borderId="18" xfId="0" applyNumberFormat="1" applyFont="1" applyFill="1" applyBorder="1" applyAlignment="1" applyProtection="1">
      <alignment horizontal="center"/>
      <protection hidden="1"/>
    </xf>
    <xf numFmtId="0" fontId="4" fillId="0" borderId="34" xfId="0" applyFont="1" applyFill="1" applyBorder="1" applyAlignment="1" applyProtection="1">
      <alignment horizontal="center"/>
      <protection hidden="1"/>
    </xf>
    <xf numFmtId="0" fontId="4" fillId="0" borderId="35" xfId="0" applyFont="1" applyFill="1" applyBorder="1" applyAlignment="1" applyProtection="1">
      <alignment horizontal="center"/>
      <protection hidden="1"/>
    </xf>
    <xf numFmtId="0" fontId="0" fillId="0" borderId="36" xfId="0" applyBorder="1" applyAlignment="1" applyProtection="1">
      <alignment/>
      <protection hidden="1"/>
    </xf>
    <xf numFmtId="0" fontId="4" fillId="33" borderId="37" xfId="0" applyFont="1" applyFill="1" applyBorder="1" applyAlignment="1" applyProtection="1">
      <alignment horizontal="right"/>
      <protection hidden="1"/>
    </xf>
    <xf numFmtId="0" fontId="5" fillId="34" borderId="38" xfId="0" applyFont="1" applyFill="1" applyBorder="1" applyAlignment="1" applyProtection="1">
      <alignment horizontal="center"/>
      <protection locked="0"/>
    </xf>
    <xf numFmtId="0" fontId="4" fillId="33" borderId="39" xfId="0" applyFont="1" applyFill="1" applyBorder="1" applyAlignment="1">
      <alignment/>
    </xf>
    <xf numFmtId="172" fontId="5" fillId="34" borderId="15" xfId="0" applyNumberFormat="1" applyFont="1" applyFill="1" applyBorder="1" applyAlignment="1" applyProtection="1">
      <alignment horizontal="center"/>
      <protection locked="0"/>
    </xf>
    <xf numFmtId="0" fontId="5" fillId="34" borderId="15" xfId="0" applyFont="1" applyFill="1" applyBorder="1" applyAlignment="1" applyProtection="1">
      <alignment horizontal="center"/>
      <protection locked="0"/>
    </xf>
    <xf numFmtId="0" fontId="4" fillId="33" borderId="36" xfId="0" applyFont="1" applyFill="1" applyBorder="1" applyAlignment="1">
      <alignment/>
    </xf>
    <xf numFmtId="0" fontId="5" fillId="33" borderId="40" xfId="0" applyFont="1" applyFill="1" applyBorder="1" applyAlignment="1">
      <alignment horizontal="center"/>
    </xf>
    <xf numFmtId="0" fontId="5" fillId="33" borderId="41" xfId="0" applyFont="1" applyFill="1" applyBorder="1" applyAlignment="1">
      <alignment horizontal="center"/>
    </xf>
    <xf numFmtId="0" fontId="5" fillId="33" borderId="42" xfId="0" applyFont="1" applyFill="1" applyBorder="1" applyAlignment="1">
      <alignment horizontal="center"/>
    </xf>
    <xf numFmtId="0" fontId="4" fillId="33" borderId="37" xfId="0" applyFont="1" applyFill="1" applyBorder="1" applyAlignment="1">
      <alignment/>
    </xf>
    <xf numFmtId="0" fontId="5" fillId="34" borderId="43" xfId="0" applyFont="1" applyFill="1" applyBorder="1" applyAlignment="1" applyProtection="1">
      <alignment horizontal="center"/>
      <protection locked="0"/>
    </xf>
    <xf numFmtId="0" fontId="5" fillId="34" borderId="44" xfId="0" applyFont="1" applyFill="1" applyBorder="1" applyAlignment="1" applyProtection="1">
      <alignment horizontal="center"/>
      <protection locked="0"/>
    </xf>
    <xf numFmtId="0" fontId="5" fillId="34" borderId="14" xfId="0" applyFont="1" applyFill="1" applyBorder="1" applyAlignment="1" applyProtection="1">
      <alignment horizontal="center"/>
      <protection locked="0"/>
    </xf>
    <xf numFmtId="0" fontId="4" fillId="33" borderId="12" xfId="0" applyFont="1" applyFill="1" applyBorder="1" applyAlignment="1">
      <alignment/>
    </xf>
    <xf numFmtId="0" fontId="5" fillId="34" borderId="45" xfId="0" applyFont="1" applyFill="1" applyBorder="1" applyAlignment="1" applyProtection="1">
      <alignment horizontal="center"/>
      <protection locked="0"/>
    </xf>
    <xf numFmtId="0" fontId="5" fillId="34" borderId="46" xfId="0" applyFont="1" applyFill="1" applyBorder="1" applyAlignment="1" applyProtection="1">
      <alignment horizontal="center"/>
      <protection locked="0"/>
    </xf>
    <xf numFmtId="0" fontId="5" fillId="34" borderId="47" xfId="0" applyFont="1" applyFill="1" applyBorder="1" applyAlignment="1" applyProtection="1">
      <alignment horizontal="center"/>
      <protection locked="0"/>
    </xf>
    <xf numFmtId="0" fontId="4" fillId="33" borderId="48" xfId="0" applyFont="1" applyFill="1" applyBorder="1" applyAlignment="1">
      <alignment/>
    </xf>
    <xf numFmtId="172" fontId="5" fillId="34" borderId="47" xfId="0" applyNumberFormat="1" applyFont="1" applyFill="1" applyBorder="1" applyAlignment="1" applyProtection="1">
      <alignment horizontal="center"/>
      <protection locked="0"/>
    </xf>
    <xf numFmtId="0" fontId="5" fillId="33" borderId="23" xfId="0" applyFont="1" applyFill="1" applyBorder="1" applyAlignment="1" applyProtection="1">
      <alignment horizontal="center"/>
      <protection hidden="1"/>
    </xf>
    <xf numFmtId="0" fontId="5" fillId="33" borderId="22" xfId="0" applyFont="1" applyFill="1" applyBorder="1" applyAlignment="1" applyProtection="1">
      <alignment horizontal="center"/>
      <protection hidden="1"/>
    </xf>
    <xf numFmtId="178" fontId="5" fillId="35" borderId="0" xfId="0" applyNumberFormat="1" applyFont="1" applyFill="1" applyBorder="1" applyAlignment="1" applyProtection="1">
      <alignment horizontal="center"/>
      <protection hidden="1"/>
    </xf>
    <xf numFmtId="178" fontId="7" fillId="35" borderId="0" xfId="0" applyNumberFormat="1" applyFont="1" applyFill="1" applyBorder="1" applyAlignment="1" applyProtection="1">
      <alignment horizontal="center" vertical="justify"/>
      <protection hidden="1"/>
    </xf>
    <xf numFmtId="178" fontId="5" fillId="35" borderId="17" xfId="0" applyNumberFormat="1" applyFont="1" applyFill="1" applyBorder="1" applyAlignment="1" applyProtection="1">
      <alignment horizontal="center"/>
      <protection hidden="1"/>
    </xf>
    <xf numFmtId="174" fontId="5" fillId="36" borderId="35" xfId="0" applyNumberFormat="1" applyFont="1" applyFill="1" applyBorder="1" applyAlignment="1" applyProtection="1">
      <alignment horizontal="center"/>
      <protection hidden="1"/>
    </xf>
    <xf numFmtId="174" fontId="5" fillId="36" borderId="49" xfId="0" applyNumberFormat="1" applyFont="1" applyFill="1" applyBorder="1" applyAlignment="1" applyProtection="1">
      <alignment horizontal="center"/>
      <protection hidden="1"/>
    </xf>
    <xf numFmtId="0" fontId="4" fillId="33" borderId="36" xfId="0" applyFont="1" applyFill="1" applyBorder="1" applyAlignment="1" applyProtection="1">
      <alignment/>
      <protection hidden="1"/>
    </xf>
    <xf numFmtId="0" fontId="0" fillId="0" borderId="36" xfId="0" applyBorder="1" applyAlignment="1">
      <alignment/>
    </xf>
    <xf numFmtId="0" fontId="0" fillId="0" borderId="50" xfId="0" applyBorder="1" applyAlignment="1">
      <alignment/>
    </xf>
    <xf numFmtId="0" fontId="0" fillId="0" borderId="10" xfId="0" applyBorder="1" applyAlignment="1">
      <alignment/>
    </xf>
    <xf numFmtId="0" fontId="0" fillId="0" borderId="0" xfId="0" applyBorder="1" applyAlignment="1">
      <alignment/>
    </xf>
    <xf numFmtId="178" fontId="5" fillId="33" borderId="22" xfId="0" applyNumberFormat="1" applyFont="1" applyFill="1" applyBorder="1" applyAlignment="1" applyProtection="1">
      <alignment horizontal="center"/>
      <protection hidden="1"/>
    </xf>
    <xf numFmtId="179" fontId="5" fillId="0" borderId="27" xfId="0" applyNumberFormat="1" applyFont="1" applyFill="1" applyBorder="1" applyAlignment="1" applyProtection="1">
      <alignment horizontal="center"/>
      <protection hidden="1"/>
    </xf>
    <xf numFmtId="0" fontId="0" fillId="0" borderId="26" xfId="0" applyFont="1" applyBorder="1" applyAlignment="1" applyProtection="1">
      <alignment/>
      <protection hidden="1"/>
    </xf>
    <xf numFmtId="0" fontId="0" fillId="0" borderId="31" xfId="0" applyFont="1" applyBorder="1" applyAlignment="1" applyProtection="1">
      <alignment/>
      <protection hidden="1"/>
    </xf>
    <xf numFmtId="0" fontId="14" fillId="0" borderId="0" xfId="0" applyFont="1" applyBorder="1" applyAlignment="1" applyProtection="1">
      <alignment horizontal="left"/>
      <protection hidden="1"/>
    </xf>
    <xf numFmtId="0" fontId="14" fillId="0" borderId="17" xfId="0" applyFont="1" applyBorder="1" applyAlignment="1" applyProtection="1">
      <alignment horizontal="left"/>
      <protection hidden="1"/>
    </xf>
    <xf numFmtId="0" fontId="14" fillId="0" borderId="26" xfId="0" applyFont="1" applyBorder="1" applyAlignment="1" applyProtection="1">
      <alignment horizontal="left"/>
      <protection hidden="1"/>
    </xf>
    <xf numFmtId="0" fontId="10" fillId="0" borderId="25" xfId="0" applyFont="1" applyBorder="1" applyAlignment="1" applyProtection="1">
      <alignment/>
      <protection hidden="1"/>
    </xf>
    <xf numFmtId="179" fontId="5" fillId="0" borderId="39" xfId="0" applyNumberFormat="1" applyFont="1" applyFill="1" applyBorder="1" applyAlignment="1" applyProtection="1">
      <alignment horizontal="center"/>
      <protection hidden="1"/>
    </xf>
    <xf numFmtId="0" fontId="4" fillId="0" borderId="22" xfId="0" applyFont="1" applyBorder="1" applyAlignment="1" applyProtection="1">
      <alignment horizontal="center"/>
      <protection hidden="1"/>
    </xf>
    <xf numFmtId="174" fontId="4" fillId="37" borderId="22" xfId="0" applyNumberFormat="1" applyFont="1" applyFill="1" applyBorder="1" applyAlignment="1" applyProtection="1">
      <alignment horizontal="center"/>
      <protection hidden="1"/>
    </xf>
    <xf numFmtId="0" fontId="15" fillId="0" borderId="0" xfId="53" applyAlignment="1" applyProtection="1">
      <alignment/>
      <protection hidden="1"/>
    </xf>
    <xf numFmtId="0" fontId="12" fillId="38" borderId="20" xfId="0" applyFont="1" applyFill="1" applyBorder="1" applyAlignment="1" applyProtection="1">
      <alignment horizontal="center"/>
      <protection hidden="1"/>
    </xf>
    <xf numFmtId="0" fontId="12" fillId="38" borderId="21" xfId="0" applyFont="1" applyFill="1" applyBorder="1" applyAlignment="1" applyProtection="1">
      <alignment horizontal="center"/>
      <protection hidden="1"/>
    </xf>
    <xf numFmtId="0" fontId="0" fillId="0" borderId="0" xfId="0" applyFill="1" applyBorder="1" applyAlignment="1" applyProtection="1">
      <alignment/>
      <protection hidden="1"/>
    </xf>
    <xf numFmtId="0" fontId="12" fillId="38" borderId="19" xfId="0" applyFont="1" applyFill="1" applyBorder="1" applyAlignment="1" applyProtection="1">
      <alignment horizontal="left"/>
      <protection hidden="1"/>
    </xf>
    <xf numFmtId="0" fontId="12" fillId="38" borderId="10" xfId="0" applyFont="1" applyFill="1" applyBorder="1" applyAlignment="1" applyProtection="1">
      <alignment horizontal="left"/>
      <protection hidden="1"/>
    </xf>
    <xf numFmtId="0" fontId="12" fillId="38" borderId="0" xfId="0" applyFont="1" applyFill="1" applyBorder="1" applyAlignment="1" applyProtection="1">
      <alignment horizontal="center"/>
      <protection hidden="1"/>
    </xf>
    <xf numFmtId="0" fontId="12" fillId="38" borderId="17" xfId="0" applyFont="1" applyFill="1" applyBorder="1" applyAlignment="1" applyProtection="1">
      <alignment horizontal="center"/>
      <protection hidden="1"/>
    </xf>
    <xf numFmtId="179" fontId="5" fillId="33" borderId="27" xfId="0" applyNumberFormat="1" applyFont="1" applyFill="1" applyBorder="1" applyAlignment="1" applyProtection="1">
      <alignment horizontal="center"/>
      <protection hidden="1"/>
    </xf>
    <xf numFmtId="179" fontId="5" fillId="33" borderId="39" xfId="0" applyNumberFormat="1" applyFont="1" applyFill="1" applyBorder="1" applyAlignment="1" applyProtection="1">
      <alignment horizontal="center"/>
      <protection hidden="1"/>
    </xf>
    <xf numFmtId="178" fontId="5" fillId="34" borderId="15" xfId="0" applyNumberFormat="1" applyFont="1" applyFill="1" applyBorder="1" applyAlignment="1" applyProtection="1">
      <alignment horizontal="center"/>
      <protection locked="0"/>
    </xf>
    <xf numFmtId="0" fontId="18" fillId="0" borderId="0" xfId="0" applyFont="1" applyAlignment="1" applyProtection="1">
      <alignment/>
      <protection hidden="1"/>
    </xf>
    <xf numFmtId="0" fontId="0" fillId="0" borderId="19" xfId="0" applyFill="1" applyBorder="1" applyAlignment="1">
      <alignment/>
    </xf>
    <xf numFmtId="0" fontId="0" fillId="0" borderId="20"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10"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17" xfId="0" applyBorder="1" applyAlignment="1">
      <alignment/>
    </xf>
    <xf numFmtId="0" fontId="4" fillId="0" borderId="0" xfId="0" applyFont="1" applyBorder="1" applyAlignment="1">
      <alignment/>
    </xf>
    <xf numFmtId="0" fontId="0" fillId="0" borderId="25" xfId="0" applyBorder="1" applyAlignment="1">
      <alignment/>
    </xf>
    <xf numFmtId="0" fontId="0" fillId="0" borderId="26" xfId="0" applyBorder="1" applyAlignment="1">
      <alignment/>
    </xf>
    <xf numFmtId="0" fontId="0" fillId="0" borderId="31" xfId="0" applyBorder="1" applyAlignment="1">
      <alignment/>
    </xf>
    <xf numFmtId="0" fontId="4" fillId="33" borderId="17" xfId="0" applyFont="1" applyFill="1" applyBorder="1" applyAlignment="1">
      <alignment/>
    </xf>
    <xf numFmtId="0" fontId="13" fillId="0" borderId="26" xfId="0" applyFont="1" applyFill="1" applyBorder="1" applyAlignment="1" applyProtection="1">
      <alignment horizontal="left"/>
      <protection hidden="1"/>
    </xf>
    <xf numFmtId="0" fontId="3"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hidden="1"/>
    </xf>
    <xf numFmtId="0" fontId="0" fillId="0" borderId="0" xfId="0" applyBorder="1" applyAlignment="1" applyProtection="1">
      <alignment horizontal="center"/>
      <protection hidden="1"/>
    </xf>
    <xf numFmtId="0" fontId="17" fillId="0" borderId="0" xfId="53" applyFont="1" applyAlignment="1" applyProtection="1">
      <alignment horizontal="center"/>
      <protection locked="0"/>
    </xf>
    <xf numFmtId="0" fontId="0" fillId="0" borderId="0" xfId="0" applyAlignment="1" applyProtection="1">
      <alignment horizontal="center"/>
      <protection locked="0"/>
    </xf>
    <xf numFmtId="0" fontId="19" fillId="0" borderId="0" xfId="53" applyFont="1" applyBorder="1" applyAlignment="1" applyProtection="1">
      <alignment horizontal="center"/>
      <protection locked="0"/>
    </xf>
    <xf numFmtId="0" fontId="0" fillId="0" borderId="0" xfId="0" applyAlignment="1" applyProtection="1">
      <alignment/>
      <protection locked="0"/>
    </xf>
    <xf numFmtId="0" fontId="17" fillId="0" borderId="0" xfId="53" applyFont="1" applyAlignment="1" applyProtection="1">
      <alignment/>
      <protection locked="0"/>
    </xf>
    <xf numFmtId="0" fontId="0" fillId="0" borderId="0" xfId="0" applyBorder="1" applyAlignment="1" applyProtection="1">
      <alignment horizontal="center"/>
      <protection locked="0"/>
    </xf>
    <xf numFmtId="0" fontId="0" fillId="0" borderId="0" xfId="0" applyFont="1" applyAlignment="1" applyProtection="1">
      <alignment/>
      <protection locked="0"/>
    </xf>
    <xf numFmtId="0" fontId="3" fillId="0" borderId="0" xfId="0" applyFont="1" applyAlignment="1" applyProtection="1">
      <alignment/>
      <protection locked="0"/>
    </xf>
    <xf numFmtId="0" fontId="17" fillId="0" borderId="0" xfId="53" applyFont="1" applyBorder="1" applyAlignment="1" applyProtection="1">
      <alignment/>
      <protection locked="0"/>
    </xf>
    <xf numFmtId="0" fontId="0" fillId="0" borderId="0" xfId="0" applyBorder="1" applyAlignment="1" applyProtection="1">
      <alignment/>
      <protection locked="0"/>
    </xf>
    <xf numFmtId="0" fontId="4" fillId="0" borderId="28" xfId="0" applyFont="1" applyBorder="1" applyAlignment="1" applyProtection="1">
      <alignment horizontal="center"/>
      <protection hidden="1"/>
    </xf>
    <xf numFmtId="0" fontId="20" fillId="0" borderId="0" xfId="0" applyFont="1" applyAlignment="1">
      <alignment/>
    </xf>
    <xf numFmtId="0" fontId="0" fillId="0" borderId="17" xfId="0" applyFill="1" applyBorder="1" applyAlignment="1" applyProtection="1">
      <alignment/>
      <protection hidden="1"/>
    </xf>
    <xf numFmtId="2" fontId="5" fillId="33" borderId="18" xfId="0" applyNumberFormat="1" applyFont="1" applyFill="1" applyBorder="1" applyAlignment="1" applyProtection="1">
      <alignment horizontal="center"/>
      <protection hidden="1"/>
    </xf>
    <xf numFmtId="0" fontId="0" fillId="0" borderId="26" xfId="0" applyFill="1" applyBorder="1" applyAlignment="1" applyProtection="1">
      <alignment/>
      <protection hidden="1"/>
    </xf>
    <xf numFmtId="0" fontId="0" fillId="0" borderId="31" xfId="0" applyFill="1" applyBorder="1" applyAlignment="1" applyProtection="1">
      <alignment/>
      <protection hidden="1"/>
    </xf>
    <xf numFmtId="0" fontId="0" fillId="0" borderId="26" xfId="0" applyBorder="1" applyAlignment="1" applyProtection="1">
      <alignment/>
      <protection hidden="1"/>
    </xf>
    <xf numFmtId="0" fontId="0" fillId="0" borderId="31" xfId="0" applyBorder="1" applyAlignment="1" applyProtection="1">
      <alignment/>
      <protection hidden="1"/>
    </xf>
    <xf numFmtId="0" fontId="0" fillId="0" borderId="0" xfId="0" applyFont="1" applyBorder="1" applyAlignment="1" applyProtection="1">
      <alignment/>
      <protection hidden="1"/>
    </xf>
    <xf numFmtId="0" fontId="10" fillId="0" borderId="50" xfId="0" applyFont="1" applyBorder="1" applyAlignment="1" applyProtection="1">
      <alignment horizontal="left"/>
      <protection hidden="1"/>
    </xf>
    <xf numFmtId="0" fontId="10" fillId="0" borderId="33" xfId="0" applyFont="1" applyBorder="1" applyAlignment="1" applyProtection="1">
      <alignment horizontal="left"/>
      <protection hidden="1"/>
    </xf>
    <xf numFmtId="0" fontId="10" fillId="0" borderId="0" xfId="0" applyFont="1" applyBorder="1" applyAlignment="1" applyProtection="1">
      <alignment horizontal="left"/>
      <protection hidden="1"/>
    </xf>
    <xf numFmtId="0" fontId="10" fillId="0" borderId="17" xfId="0" applyFont="1" applyBorder="1" applyAlignment="1" applyProtection="1">
      <alignment horizontal="left"/>
      <protection hidden="1"/>
    </xf>
    <xf numFmtId="0" fontId="13" fillId="0" borderId="26" xfId="0" applyFont="1" applyBorder="1" applyAlignment="1" applyProtection="1">
      <alignment horizontal="left"/>
      <protection hidden="1"/>
    </xf>
    <xf numFmtId="0" fontId="11" fillId="0" borderId="26" xfId="0" applyFont="1" applyBorder="1" applyAlignment="1" applyProtection="1">
      <alignment horizontal="left"/>
      <protection hidden="1"/>
    </xf>
    <xf numFmtId="3" fontId="4" fillId="33" borderId="18" xfId="0" applyNumberFormat="1" applyFont="1" applyFill="1" applyBorder="1" applyAlignment="1" applyProtection="1">
      <alignment horizontal="center"/>
      <protection hidden="1"/>
    </xf>
    <xf numFmtId="0" fontId="10" fillId="0" borderId="36" xfId="0" applyFont="1" applyFill="1" applyBorder="1" applyAlignment="1" applyProtection="1">
      <alignment horizontal="left"/>
      <protection hidden="1"/>
    </xf>
    <xf numFmtId="0" fontId="10" fillId="0" borderId="50" xfId="0" applyFont="1" applyFill="1" applyBorder="1" applyAlignment="1" applyProtection="1">
      <alignment horizontal="left"/>
      <protection hidden="1"/>
    </xf>
    <xf numFmtId="0" fontId="10" fillId="0" borderId="33"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7" xfId="0" applyFont="1" applyFill="1" applyBorder="1" applyAlignment="1" applyProtection="1">
      <alignment horizontal="left"/>
      <protection hidden="1"/>
    </xf>
    <xf numFmtId="0" fontId="13" fillId="0" borderId="25" xfId="0" applyFont="1" applyFill="1" applyBorder="1" applyAlignment="1" applyProtection="1">
      <alignment horizontal="left"/>
      <protection hidden="1"/>
    </xf>
    <xf numFmtId="0" fontId="11" fillId="0" borderId="26" xfId="0" applyFont="1" applyFill="1" applyBorder="1" applyAlignment="1" applyProtection="1">
      <alignment horizontal="left"/>
      <protection hidden="1"/>
    </xf>
    <xf numFmtId="0" fontId="0" fillId="0" borderId="10" xfId="0" applyFont="1" applyBorder="1" applyAlignment="1" applyProtection="1">
      <alignment/>
      <protection hidden="1"/>
    </xf>
    <xf numFmtId="0" fontId="0" fillId="0" borderId="40" xfId="0" applyBorder="1" applyAlignment="1" applyProtection="1">
      <alignment/>
      <protection hidden="1"/>
    </xf>
    <xf numFmtId="0" fontId="5" fillId="35" borderId="12" xfId="0" applyFont="1" applyFill="1" applyBorder="1" applyAlignment="1" applyProtection="1">
      <alignment horizontal="center"/>
      <protection hidden="1"/>
    </xf>
    <xf numFmtId="0" fontId="4" fillId="0" borderId="44" xfId="0" applyFont="1" applyBorder="1" applyAlignment="1" applyProtection="1">
      <alignment horizontal="center"/>
      <protection hidden="1"/>
    </xf>
    <xf numFmtId="174" fontId="4" fillId="37" borderId="24" xfId="0" applyNumberFormat="1" applyFont="1" applyFill="1" applyBorder="1" applyAlignment="1" applyProtection="1">
      <alignment horizontal="center"/>
      <protection hidden="1"/>
    </xf>
    <xf numFmtId="0" fontId="5" fillId="35" borderId="51" xfId="0" applyFont="1" applyFill="1" applyBorder="1" applyAlignment="1" applyProtection="1">
      <alignment horizontal="center"/>
      <protection hidden="1"/>
    </xf>
    <xf numFmtId="0" fontId="5" fillId="35" borderId="37" xfId="0"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8" fillId="0" borderId="52" xfId="0" applyFont="1" applyBorder="1" applyAlignment="1" applyProtection="1">
      <alignment horizontal="left" vertical="center" wrapText="1"/>
      <protection hidden="1"/>
    </xf>
    <xf numFmtId="0" fontId="0" fillId="0" borderId="53" xfId="0" applyFont="1" applyBorder="1" applyAlignment="1" applyProtection="1">
      <alignment horizontal="left" vertical="center" wrapText="1"/>
      <protection hidden="1"/>
    </xf>
    <xf numFmtId="0" fontId="0" fillId="0" borderId="54" xfId="0" applyFont="1" applyBorder="1" applyAlignment="1" applyProtection="1">
      <alignment horizontal="left" vertical="center" wrapText="1"/>
      <protection hidden="1"/>
    </xf>
    <xf numFmtId="0" fontId="0" fillId="0" borderId="55"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0" fillId="0" borderId="56" xfId="0" applyFont="1" applyBorder="1" applyAlignment="1" applyProtection="1">
      <alignment horizontal="left" vertical="center" wrapText="1"/>
      <protection hidden="1"/>
    </xf>
    <xf numFmtId="0" fontId="0" fillId="0" borderId="57" xfId="0" applyFont="1" applyBorder="1" applyAlignment="1" applyProtection="1">
      <alignment horizontal="left" vertical="center" wrapText="1"/>
      <protection hidden="1"/>
    </xf>
    <xf numFmtId="0" fontId="0" fillId="0" borderId="58" xfId="0" applyFont="1" applyBorder="1" applyAlignment="1" applyProtection="1">
      <alignment horizontal="left" vertical="center" wrapText="1"/>
      <protection hidden="1"/>
    </xf>
    <xf numFmtId="0" fontId="0" fillId="0" borderId="59" xfId="0" applyFont="1" applyBorder="1" applyAlignment="1" applyProtection="1">
      <alignment horizontal="left" vertical="center" wrapText="1"/>
      <protection hidden="1"/>
    </xf>
    <xf numFmtId="0" fontId="3" fillId="34" borderId="60" xfId="0" applyFont="1" applyFill="1" applyBorder="1" applyAlignment="1">
      <alignment horizontal="center"/>
    </xf>
    <xf numFmtId="0" fontId="0" fillId="0" borderId="61" xfId="0" applyBorder="1" applyAlignment="1">
      <alignment horizontal="center"/>
    </xf>
    <xf numFmtId="0" fontId="2" fillId="39" borderId="25" xfId="0" applyFont="1" applyFill="1" applyBorder="1" applyAlignment="1" applyProtection="1">
      <alignment horizontal="center"/>
      <protection hidden="1"/>
    </xf>
    <xf numFmtId="0" fontId="0" fillId="0" borderId="26" xfId="0" applyBorder="1" applyAlignment="1">
      <alignment horizontal="center"/>
    </xf>
    <xf numFmtId="0" fontId="0" fillId="0" borderId="31" xfId="0" applyBorder="1" applyAlignment="1">
      <alignment horizontal="center"/>
    </xf>
    <xf numFmtId="0" fontId="5" fillId="33" borderId="40" xfId="0" applyFont="1" applyFill="1" applyBorder="1" applyAlignment="1">
      <alignment wrapText="1"/>
    </xf>
    <xf numFmtId="0" fontId="4" fillId="0" borderId="41" xfId="0" applyFont="1" applyBorder="1" applyAlignment="1">
      <alignment wrapText="1"/>
    </xf>
    <xf numFmtId="0" fontId="4" fillId="0" borderId="42" xfId="0" applyFont="1" applyBorder="1" applyAlignment="1">
      <alignment wrapText="1"/>
    </xf>
    <xf numFmtId="0" fontId="5" fillId="38" borderId="40" xfId="0" applyFont="1" applyFill="1" applyBorder="1" applyAlignment="1">
      <alignment horizontal="left"/>
    </xf>
    <xf numFmtId="0" fontId="0" fillId="0" borderId="42" xfId="0" applyBorder="1" applyAlignment="1">
      <alignment/>
    </xf>
    <xf numFmtId="0" fontId="5" fillId="38" borderId="62" xfId="0" applyFont="1" applyFill="1" applyBorder="1" applyAlignment="1">
      <alignment horizontal="left" wrapText="1"/>
    </xf>
    <xf numFmtId="0" fontId="4" fillId="0" borderId="63" xfId="0" applyFont="1" applyBorder="1" applyAlignment="1">
      <alignment wrapText="1"/>
    </xf>
    <xf numFmtId="0" fontId="21" fillId="0" borderId="20" xfId="53" applyFont="1" applyBorder="1" applyAlignment="1" applyProtection="1">
      <alignment horizontal="center" vertical="center" wrapText="1"/>
      <protection hidden="1"/>
    </xf>
    <xf numFmtId="0" fontId="21" fillId="0" borderId="0" xfId="53" applyFont="1" applyBorder="1" applyAlignment="1" applyProtection="1">
      <alignment horizontal="center" vertical="center" wrapText="1"/>
      <protection/>
    </xf>
    <xf numFmtId="0" fontId="0" fillId="0" borderId="25" xfId="0" applyFont="1" applyBorder="1" applyAlignment="1" applyProtection="1">
      <alignment/>
      <protection hidden="1"/>
    </xf>
    <xf numFmtId="0" fontId="0" fillId="0" borderId="26" xfId="0" applyFont="1" applyBorder="1" applyAlignment="1" applyProtection="1">
      <alignment/>
      <protection hidden="1"/>
    </xf>
    <xf numFmtId="0" fontId="5" fillId="0" borderId="0"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36" borderId="26" xfId="0" applyFont="1" applyFill="1" applyBorder="1" applyAlignment="1" applyProtection="1">
      <alignment horizontal="center"/>
      <protection hidden="1"/>
    </xf>
    <xf numFmtId="0" fontId="5" fillId="36" borderId="31" xfId="0" applyFont="1" applyFill="1" applyBorder="1" applyAlignment="1" applyProtection="1">
      <alignment horizontal="center"/>
      <protection hidden="1"/>
    </xf>
    <xf numFmtId="0" fontId="5" fillId="0" borderId="20" xfId="0" applyFont="1" applyFill="1" applyBorder="1" applyAlignment="1" applyProtection="1">
      <alignment horizontal="center" vertical="justify"/>
      <protection hidden="1"/>
    </xf>
    <xf numFmtId="0" fontId="0" fillId="0" borderId="20" xfId="0" applyFill="1" applyBorder="1" applyAlignment="1" applyProtection="1">
      <alignment/>
      <protection hidden="1"/>
    </xf>
    <xf numFmtId="0" fontId="10" fillId="0" borderId="36" xfId="0" applyFont="1" applyFill="1" applyBorder="1" applyAlignment="1" applyProtection="1">
      <alignment horizontal="left" wrapText="1"/>
      <protection hidden="1"/>
    </xf>
    <xf numFmtId="0" fontId="10" fillId="0" borderId="50" xfId="0" applyFont="1" applyFill="1" applyBorder="1" applyAlignment="1" applyProtection="1">
      <alignment horizontal="left" wrapText="1"/>
      <protection hidden="1"/>
    </xf>
    <xf numFmtId="0" fontId="10" fillId="0" borderId="33" xfId="0" applyFont="1" applyFill="1" applyBorder="1" applyAlignment="1" applyProtection="1">
      <alignment horizontal="left" wrapText="1"/>
      <protection hidden="1"/>
    </xf>
    <xf numFmtId="0" fontId="10" fillId="0" borderId="10" xfId="0"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17" xfId="0" applyFont="1" applyFill="1" applyBorder="1" applyAlignment="1" applyProtection="1">
      <alignment horizontal="left" wrapText="1"/>
      <protection hidden="1"/>
    </xf>
    <xf numFmtId="0" fontId="5" fillId="38" borderId="40" xfId="0" applyFont="1" applyFill="1" applyBorder="1" applyAlignment="1" applyProtection="1">
      <alignment horizontal="left"/>
      <protection hidden="1"/>
    </xf>
    <xf numFmtId="0" fontId="5" fillId="38" borderId="42" xfId="0" applyFont="1" applyFill="1" applyBorder="1" applyAlignment="1" applyProtection="1">
      <alignment horizontal="left"/>
      <protection hidden="1"/>
    </xf>
    <xf numFmtId="0" fontId="13" fillId="0" borderId="25" xfId="0" applyFont="1" applyFill="1" applyBorder="1" applyAlignment="1" applyProtection="1">
      <alignment horizontal="left" wrapText="1"/>
      <protection hidden="1"/>
    </xf>
    <xf numFmtId="0" fontId="13" fillId="0" borderId="26" xfId="0" applyFont="1" applyFill="1" applyBorder="1" applyAlignment="1" applyProtection="1">
      <alignment horizontal="left" wrapText="1"/>
      <protection hidden="1"/>
    </xf>
    <xf numFmtId="0" fontId="11" fillId="0" borderId="26" xfId="0" applyFont="1" applyFill="1" applyBorder="1" applyAlignment="1" applyProtection="1">
      <alignment horizontal="left" wrapText="1"/>
      <protection hidden="1"/>
    </xf>
    <xf numFmtId="0" fontId="0" fillId="0" borderId="26" xfId="0" applyFill="1" applyBorder="1" applyAlignment="1" applyProtection="1">
      <alignment/>
      <protection hidden="1"/>
    </xf>
    <xf numFmtId="0" fontId="0" fillId="0" borderId="31" xfId="0" applyFill="1" applyBorder="1" applyAlignment="1" applyProtection="1">
      <alignment/>
      <protection hidden="1"/>
    </xf>
    <xf numFmtId="0" fontId="11" fillId="0" borderId="10" xfId="0" applyFont="1" applyFill="1" applyBorder="1" applyAlignment="1" applyProtection="1">
      <alignment horizontal="left" wrapText="1"/>
      <protection hidden="1"/>
    </xf>
    <xf numFmtId="0" fontId="11" fillId="0" borderId="0" xfId="0" applyFont="1" applyFill="1" applyBorder="1" applyAlignment="1" applyProtection="1">
      <alignment horizontal="left" wrapText="1"/>
      <protection hidden="1"/>
    </xf>
    <xf numFmtId="0" fontId="0" fillId="0" borderId="0" xfId="0" applyFill="1" applyBorder="1" applyAlignment="1" applyProtection="1">
      <alignment/>
      <protection hidden="1"/>
    </xf>
    <xf numFmtId="0" fontId="0" fillId="0" borderId="17" xfId="0" applyFill="1" applyBorder="1" applyAlignment="1" applyProtection="1">
      <alignment/>
      <protection hidden="1"/>
    </xf>
    <xf numFmtId="0" fontId="19" fillId="0" borderId="10" xfId="53" applyFont="1" applyBorder="1" applyAlignment="1" applyProtection="1">
      <alignment horizontal="center"/>
      <protection locked="0"/>
    </xf>
    <xf numFmtId="0" fontId="0" fillId="0" borderId="0" xfId="0" applyAlignment="1">
      <alignment horizontal="center"/>
    </xf>
    <xf numFmtId="0" fontId="17" fillId="0" borderId="10" xfId="53" applyFont="1" applyBorder="1" applyAlignment="1" applyProtection="1">
      <alignment horizontal="center"/>
      <protection locked="0"/>
    </xf>
    <xf numFmtId="0" fontId="17" fillId="0" borderId="0" xfId="53" applyFont="1" applyAlignment="1" applyProtection="1">
      <alignment horizontal="center"/>
      <protection locked="0"/>
    </xf>
    <xf numFmtId="0" fontId="12" fillId="38" borderId="19" xfId="0" applyFont="1" applyFill="1" applyBorder="1" applyAlignment="1" applyProtection="1">
      <alignment horizontal="center"/>
      <protection hidden="1"/>
    </xf>
    <xf numFmtId="0" fontId="12" fillId="38" borderId="20" xfId="0" applyFont="1" applyFill="1" applyBorder="1" applyAlignment="1" applyProtection="1">
      <alignment horizontal="center"/>
      <protection hidden="1"/>
    </xf>
    <xf numFmtId="0" fontId="12" fillId="38" borderId="21" xfId="0" applyFont="1" applyFill="1" applyBorder="1" applyAlignment="1" applyProtection="1">
      <alignment horizontal="center"/>
      <protection hidden="1"/>
    </xf>
    <xf numFmtId="0" fontId="2" fillId="39" borderId="10" xfId="0" applyFont="1" applyFill="1" applyBorder="1" applyAlignment="1" applyProtection="1">
      <alignment horizontal="center"/>
      <protection hidden="1"/>
    </xf>
    <xf numFmtId="0" fontId="2" fillId="39" borderId="0" xfId="0" applyFont="1" applyFill="1" applyBorder="1" applyAlignment="1" applyProtection="1">
      <alignment horizontal="center"/>
      <protection hidden="1"/>
    </xf>
    <xf numFmtId="0" fontId="2" fillId="39" borderId="17" xfId="0" applyFont="1" applyFill="1" applyBorder="1" applyAlignment="1" applyProtection="1">
      <alignment horizontal="center"/>
      <protection hidden="1"/>
    </xf>
    <xf numFmtId="0" fontId="3" fillId="0" borderId="10"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0" fillId="0" borderId="0" xfId="0" applyAlignment="1" applyProtection="1">
      <alignment/>
      <protection hidden="1"/>
    </xf>
    <xf numFmtId="0" fontId="5" fillId="0" borderId="20" xfId="0" applyFont="1" applyBorder="1" applyAlignment="1" applyProtection="1">
      <alignment horizontal="center" vertical="justify"/>
      <protection hidden="1"/>
    </xf>
    <xf numFmtId="0" fontId="0" fillId="0" borderId="20" xfId="0" applyBorder="1" applyAlignment="1" applyProtection="1">
      <alignment/>
      <protection hidden="1"/>
    </xf>
    <xf numFmtId="0" fontId="5" fillId="0" borderId="0" xfId="0" applyFont="1" applyBorder="1" applyAlignment="1" applyProtection="1">
      <alignment horizontal="center"/>
      <protection hidden="1"/>
    </xf>
    <xf numFmtId="0" fontId="5" fillId="0" borderId="17" xfId="0" applyFont="1" applyBorder="1" applyAlignment="1" applyProtection="1">
      <alignment horizontal="center"/>
      <protection hidden="1"/>
    </xf>
    <xf numFmtId="0" fontId="10" fillId="0" borderId="10" xfId="0" applyFont="1" applyBorder="1" applyAlignment="1" applyProtection="1">
      <alignment horizontal="left" wrapText="1"/>
      <protection hidden="1"/>
    </xf>
    <xf numFmtId="0" fontId="10" fillId="0" borderId="0" xfId="0" applyFont="1" applyBorder="1" applyAlignment="1" applyProtection="1">
      <alignment horizontal="left" wrapText="1"/>
      <protection hidden="1"/>
    </xf>
    <xf numFmtId="0" fontId="10" fillId="0" borderId="17" xfId="0" applyFont="1" applyBorder="1" applyAlignment="1" applyProtection="1">
      <alignment horizontal="left" wrapText="1"/>
      <protection hidden="1"/>
    </xf>
    <xf numFmtId="0" fontId="13" fillId="0" borderId="25" xfId="0" applyFont="1" applyBorder="1" applyAlignment="1" applyProtection="1">
      <alignment horizontal="left" wrapText="1"/>
      <protection hidden="1"/>
    </xf>
    <xf numFmtId="0" fontId="13" fillId="0" borderId="26" xfId="0" applyFont="1" applyBorder="1" applyAlignment="1" applyProtection="1">
      <alignment horizontal="left" wrapText="1"/>
      <protection hidden="1"/>
    </xf>
    <xf numFmtId="0" fontId="11" fillId="0" borderId="26" xfId="0" applyFont="1" applyBorder="1" applyAlignment="1" applyProtection="1">
      <alignment horizontal="left" wrapText="1"/>
      <protection hidden="1"/>
    </xf>
    <xf numFmtId="0" fontId="0" fillId="0" borderId="26" xfId="0" applyBorder="1" applyAlignment="1" applyProtection="1">
      <alignment/>
      <protection hidden="1"/>
    </xf>
    <xf numFmtId="0" fontId="0" fillId="0" borderId="31" xfId="0" applyBorder="1" applyAlignment="1" applyProtection="1">
      <alignment/>
      <protection hidden="1"/>
    </xf>
    <xf numFmtId="0" fontId="17" fillId="0" borderId="10" xfId="53" applyFont="1" applyBorder="1" applyAlignment="1" applyProtection="1">
      <alignment/>
      <protection locked="0"/>
    </xf>
    <xf numFmtId="0" fontId="17" fillId="0" borderId="0" xfId="53" applyFont="1" applyAlignment="1" applyProtection="1">
      <alignment/>
      <protection locked="0"/>
    </xf>
    <xf numFmtId="0" fontId="10" fillId="0" borderId="36" xfId="0" applyFont="1" applyBorder="1" applyAlignment="1" applyProtection="1">
      <alignment horizontal="left" wrapText="1"/>
      <protection hidden="1"/>
    </xf>
    <xf numFmtId="0" fontId="10" fillId="0" borderId="50" xfId="0" applyFont="1" applyBorder="1" applyAlignment="1" applyProtection="1">
      <alignment horizontal="left" wrapText="1"/>
      <protection hidden="1"/>
    </xf>
    <xf numFmtId="0" fontId="10" fillId="0" borderId="33" xfId="0" applyFont="1" applyBorder="1" applyAlignment="1" applyProtection="1">
      <alignment horizontal="left" wrapText="1"/>
      <protection hidden="1"/>
    </xf>
    <xf numFmtId="0" fontId="0" fillId="0" borderId="0" xfId="0" applyBorder="1" applyAlignment="1">
      <alignment/>
    </xf>
    <xf numFmtId="0" fontId="0" fillId="0" borderId="17" xfId="0" applyBorder="1" applyAlignment="1">
      <alignment/>
    </xf>
    <xf numFmtId="0" fontId="5" fillId="38" borderId="16" xfId="0" applyFont="1" applyFill="1" applyBorder="1" applyAlignment="1" applyProtection="1">
      <alignment horizontal="left"/>
      <protection hidden="1"/>
    </xf>
    <xf numFmtId="0" fontId="5" fillId="38" borderId="24" xfId="0" applyFont="1" applyFill="1" applyBorder="1" applyAlignment="1" applyProtection="1">
      <alignment horizontal="lef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8">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
      <fill>
        <patternFill>
          <bgColor indexed="53"/>
        </patternFill>
      </fill>
    </dxf>
    <dxf>
      <fill>
        <patternFill>
          <bgColor indexed="53"/>
        </patternFill>
      </fill>
    </dxf>
    <dxf>
      <font>
        <b/>
        <i val="0"/>
        <color indexed="9"/>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0"/>
  <sheetViews>
    <sheetView showGridLines="0" tabSelected="1" zoomScalePageLayoutView="0" workbookViewId="0" topLeftCell="A1">
      <selection activeCell="H2" sqref="H2"/>
    </sheetView>
  </sheetViews>
  <sheetFormatPr defaultColWidth="9.140625" defaultRowHeight="12.75"/>
  <cols>
    <col min="1" max="1" width="3.57421875" style="0" customWidth="1"/>
    <col min="2" max="2" width="18.140625" style="0" customWidth="1"/>
    <col min="3" max="3" width="10.8515625" style="0" customWidth="1"/>
    <col min="5" max="5" width="19.28125" style="0" customWidth="1"/>
    <col min="8" max="8" width="10.7109375" style="0" customWidth="1"/>
    <col min="9" max="9" width="3.421875" style="0" customWidth="1"/>
    <col min="10" max="10" width="3.57421875" style="156" customWidth="1"/>
    <col min="11" max="11" width="16.57421875" style="0" customWidth="1"/>
    <col min="12" max="12" width="7.421875" style="0" customWidth="1"/>
  </cols>
  <sheetData>
    <row r="1" spans="1:9" ht="13.5" thickBot="1">
      <c r="A1" s="141"/>
      <c r="B1" s="142"/>
      <c r="C1" s="142"/>
      <c r="D1" s="142"/>
      <c r="E1" s="142"/>
      <c r="F1" s="142"/>
      <c r="G1" s="143"/>
      <c r="H1" s="143"/>
      <c r="I1" s="144"/>
    </row>
    <row r="2" spans="1:9" ht="21" thickBot="1">
      <c r="A2" s="145"/>
      <c r="B2" s="133" t="s">
        <v>71</v>
      </c>
      <c r="C2" s="130"/>
      <c r="D2" s="130"/>
      <c r="E2" s="130"/>
      <c r="F2" s="131"/>
      <c r="G2" s="117"/>
      <c r="H2" s="117"/>
      <c r="I2" s="146"/>
    </row>
    <row r="3" spans="1:17" ht="21" thickTop="1">
      <c r="A3" s="145"/>
      <c r="B3" s="134" t="s">
        <v>72</v>
      </c>
      <c r="C3" s="135"/>
      <c r="D3" s="135"/>
      <c r="E3" s="135"/>
      <c r="F3" s="136"/>
      <c r="G3" s="117"/>
      <c r="H3" s="117"/>
      <c r="I3" s="146"/>
      <c r="K3" s="201" t="s">
        <v>112</v>
      </c>
      <c r="L3" s="202"/>
      <c r="M3" s="202"/>
      <c r="N3" s="202"/>
      <c r="O3" s="202"/>
      <c r="P3" s="202"/>
      <c r="Q3" s="203"/>
    </row>
    <row r="4" spans="1:17" ht="21" thickBot="1">
      <c r="A4" s="145"/>
      <c r="B4" s="212" t="s">
        <v>73</v>
      </c>
      <c r="C4" s="213"/>
      <c r="D4" s="213"/>
      <c r="E4" s="213"/>
      <c r="F4" s="214"/>
      <c r="G4" s="117"/>
      <c r="H4" s="117"/>
      <c r="I4" s="146"/>
      <c r="K4" s="204"/>
      <c r="L4" s="205"/>
      <c r="M4" s="205"/>
      <c r="N4" s="205"/>
      <c r="O4" s="205"/>
      <c r="P4" s="205"/>
      <c r="Q4" s="206"/>
    </row>
    <row r="5" spans="1:17" ht="13.5" thickBot="1">
      <c r="A5" s="145"/>
      <c r="B5" s="147"/>
      <c r="C5" s="147"/>
      <c r="D5" s="147"/>
      <c r="E5" s="147"/>
      <c r="F5" s="147"/>
      <c r="G5" s="117"/>
      <c r="I5" s="148"/>
      <c r="K5" s="204"/>
      <c r="L5" s="205"/>
      <c r="M5" s="205"/>
      <c r="N5" s="205"/>
      <c r="O5" s="205"/>
      <c r="P5" s="205"/>
      <c r="Q5" s="206"/>
    </row>
    <row r="6" spans="1:17" ht="14.25" thickBot="1">
      <c r="A6" s="116"/>
      <c r="B6" s="218" t="s">
        <v>39</v>
      </c>
      <c r="C6" s="219"/>
      <c r="D6" s="117"/>
      <c r="E6" s="117"/>
      <c r="F6" s="117"/>
      <c r="G6" s="117"/>
      <c r="H6" s="117"/>
      <c r="I6" s="148"/>
      <c r="K6" s="204"/>
      <c r="L6" s="205"/>
      <c r="M6" s="205"/>
      <c r="N6" s="205"/>
      <c r="O6" s="205"/>
      <c r="P6" s="205"/>
      <c r="Q6" s="206"/>
    </row>
    <row r="7" spans="1:17" ht="14.25" thickBot="1">
      <c r="A7" s="116"/>
      <c r="B7" s="6" t="s">
        <v>1</v>
      </c>
      <c r="C7" s="7" t="s">
        <v>2</v>
      </c>
      <c r="D7" s="117"/>
      <c r="E7" s="220" t="s">
        <v>46</v>
      </c>
      <c r="F7" s="215" t="s">
        <v>35</v>
      </c>
      <c r="G7" s="216"/>
      <c r="H7" s="217"/>
      <c r="I7" s="148"/>
      <c r="K7" s="204"/>
      <c r="L7" s="205"/>
      <c r="M7" s="205"/>
      <c r="N7" s="205"/>
      <c r="O7" s="205"/>
      <c r="P7" s="205"/>
      <c r="Q7" s="206"/>
    </row>
    <row r="8" spans="1:17" ht="14.25" thickBot="1">
      <c r="A8" s="116"/>
      <c r="B8" s="4" t="s">
        <v>37</v>
      </c>
      <c r="C8" s="58">
        <v>600</v>
      </c>
      <c r="D8" s="117"/>
      <c r="E8" s="221"/>
      <c r="F8" s="93" t="s">
        <v>43</v>
      </c>
      <c r="G8" s="94" t="s">
        <v>44</v>
      </c>
      <c r="H8" s="95" t="s">
        <v>45</v>
      </c>
      <c r="I8" s="148"/>
      <c r="K8" s="207"/>
      <c r="L8" s="208"/>
      <c r="M8" s="208"/>
      <c r="N8" s="208"/>
      <c r="O8" s="208"/>
      <c r="P8" s="208"/>
      <c r="Q8" s="209"/>
    </row>
    <row r="9" spans="1:9" ht="13.5">
      <c r="A9" s="116"/>
      <c r="B9" s="4" t="s">
        <v>4</v>
      </c>
      <c r="C9" s="8">
        <v>46</v>
      </c>
      <c r="D9" s="117"/>
      <c r="E9" s="96" t="s">
        <v>31</v>
      </c>
      <c r="F9" s="97">
        <v>90</v>
      </c>
      <c r="G9" s="98">
        <v>70</v>
      </c>
      <c r="H9" s="99">
        <v>40</v>
      </c>
      <c r="I9" s="148"/>
    </row>
    <row r="10" spans="1:11" ht="14.25" thickBot="1">
      <c r="A10" s="116"/>
      <c r="B10" s="4" t="s">
        <v>5</v>
      </c>
      <c r="C10" s="60">
        <f>(C8/((C9/100)*2200))</f>
        <v>0.5928853754940712</v>
      </c>
      <c r="D10" s="117"/>
      <c r="E10" s="100" t="s">
        <v>32</v>
      </c>
      <c r="F10" s="101">
        <v>90</v>
      </c>
      <c r="G10" s="102">
        <v>50</v>
      </c>
      <c r="H10" s="103">
        <v>40</v>
      </c>
      <c r="I10" s="148"/>
      <c r="J10" s="160"/>
      <c r="K10" s="155" t="s">
        <v>93</v>
      </c>
    </row>
    <row r="11" spans="1:11" ht="13.5">
      <c r="A11" s="116"/>
      <c r="B11" s="1" t="s">
        <v>20</v>
      </c>
      <c r="C11" s="88">
        <v>10</v>
      </c>
      <c r="D11" s="117"/>
      <c r="E11" s="100" t="s">
        <v>33</v>
      </c>
      <c r="F11" s="91">
        <v>70</v>
      </c>
      <c r="G11" s="149"/>
      <c r="H11" s="149"/>
      <c r="I11" s="148"/>
      <c r="K11" s="159" t="s">
        <v>94</v>
      </c>
    </row>
    <row r="12" spans="1:11" ht="13.5">
      <c r="A12" s="116"/>
      <c r="B12" s="5" t="s">
        <v>113</v>
      </c>
      <c r="C12" s="89"/>
      <c r="D12" s="117"/>
      <c r="E12" s="100" t="s">
        <v>34</v>
      </c>
      <c r="F12" s="91">
        <v>100</v>
      </c>
      <c r="G12" s="149"/>
      <c r="H12" s="149"/>
      <c r="I12" s="148"/>
      <c r="K12" s="159" t="s">
        <v>95</v>
      </c>
    </row>
    <row r="13" spans="1:11" ht="13.5">
      <c r="A13" s="116"/>
      <c r="B13" s="2" t="s">
        <v>115</v>
      </c>
      <c r="C13" s="90">
        <v>0.5</v>
      </c>
      <c r="D13" s="117"/>
      <c r="E13" s="9" t="s">
        <v>36</v>
      </c>
      <c r="F13" s="89"/>
      <c r="G13" s="149"/>
      <c r="H13" s="149"/>
      <c r="I13" s="148"/>
      <c r="K13" s="159" t="s">
        <v>96</v>
      </c>
    </row>
    <row r="14" spans="1:11" ht="13.5">
      <c r="A14" s="116"/>
      <c r="B14" s="3" t="s">
        <v>28</v>
      </c>
      <c r="C14" s="89"/>
      <c r="D14" s="117"/>
      <c r="E14" s="100" t="s">
        <v>31</v>
      </c>
      <c r="F14" s="90">
        <v>5</v>
      </c>
      <c r="G14" s="149"/>
      <c r="H14" s="149"/>
      <c r="I14" s="148"/>
      <c r="K14" s="159" t="s">
        <v>97</v>
      </c>
    </row>
    <row r="15" spans="1:11" ht="13.5">
      <c r="A15" s="116"/>
      <c r="B15" s="2" t="s">
        <v>29</v>
      </c>
      <c r="C15" s="91">
        <v>30</v>
      </c>
      <c r="D15" s="117"/>
      <c r="E15" s="100" t="s">
        <v>32</v>
      </c>
      <c r="F15" s="90">
        <v>2.5</v>
      </c>
      <c r="G15" s="149"/>
      <c r="H15" s="149"/>
      <c r="I15" s="148"/>
      <c r="K15" s="159" t="s">
        <v>98</v>
      </c>
    </row>
    <row r="16" spans="1:11" ht="13.5">
      <c r="A16" s="116"/>
      <c r="B16" s="2" t="s">
        <v>30</v>
      </c>
      <c r="C16" s="82"/>
      <c r="D16" s="117"/>
      <c r="E16" s="100" t="s">
        <v>33</v>
      </c>
      <c r="F16" s="90">
        <v>9</v>
      </c>
      <c r="G16" s="149"/>
      <c r="H16" s="149"/>
      <c r="I16" s="148"/>
      <c r="K16" s="159" t="s">
        <v>99</v>
      </c>
    </row>
    <row r="17" spans="1:11" ht="14.25" thickBot="1">
      <c r="A17" s="116"/>
      <c r="B17" s="92" t="s">
        <v>56</v>
      </c>
      <c r="C17" s="139">
        <v>50</v>
      </c>
      <c r="D17" s="117"/>
      <c r="E17" s="104" t="s">
        <v>34</v>
      </c>
      <c r="F17" s="105">
        <v>14</v>
      </c>
      <c r="G17" s="149"/>
      <c r="H17" s="149"/>
      <c r="I17" s="148"/>
      <c r="K17" s="159" t="s">
        <v>33</v>
      </c>
    </row>
    <row r="18" spans="1:11" ht="13.5">
      <c r="A18" s="116"/>
      <c r="B18" s="2" t="s">
        <v>57</v>
      </c>
      <c r="C18" s="153"/>
      <c r="D18" s="117"/>
      <c r="E18" s="117"/>
      <c r="F18" s="117"/>
      <c r="G18" s="117"/>
      <c r="H18" s="117"/>
      <c r="I18" s="148"/>
      <c r="K18" s="159" t="s">
        <v>34</v>
      </c>
    </row>
    <row r="19" spans="2:9" ht="13.5" thickBot="1">
      <c r="B19" s="210" t="s">
        <v>0</v>
      </c>
      <c r="C19" s="211"/>
      <c r="D19" s="117"/>
      <c r="E19" s="117"/>
      <c r="F19" s="117"/>
      <c r="G19" s="117"/>
      <c r="H19" s="117"/>
      <c r="I19" s="148"/>
    </row>
    <row r="20" spans="1:9" ht="13.5" thickBot="1">
      <c r="A20" s="150"/>
      <c r="B20" s="151"/>
      <c r="C20" s="151"/>
      <c r="D20" s="151"/>
      <c r="E20" s="151"/>
      <c r="F20" s="151"/>
      <c r="G20" s="151"/>
      <c r="H20" s="151"/>
      <c r="I20" s="152"/>
    </row>
  </sheetData>
  <sheetProtection/>
  <mergeCells count="6">
    <mergeCell ref="K3:Q8"/>
    <mergeCell ref="B19:C19"/>
    <mergeCell ref="B4:F4"/>
    <mergeCell ref="F7:H7"/>
    <mergeCell ref="B6:C6"/>
    <mergeCell ref="E7:E8"/>
  </mergeCells>
  <hyperlinks>
    <hyperlink ref="K11" location="'Wheat (Moist) Crop'!A1" display="Wheat (Moist)"/>
    <hyperlink ref="K12" location="'Wheat (Dry) Crop'!A1" display="Wheat (Dry)"/>
    <hyperlink ref="K13" location="'Wheat (Arid) Crop'!A1" display="Wheat (Arid)"/>
    <hyperlink ref="K14" location="'Barley (Moist) Crop'!A1" display="Barley (Moist)"/>
    <hyperlink ref="K15" location="'Barley (Dry) Crop'!A1" display="Barley (Dry)"/>
    <hyperlink ref="K16" location="'Barley (Arid) Crop'!A1" display="Barley (Arid)"/>
    <hyperlink ref="K17" location="'Canola Crop'!A1" display="Canola"/>
    <hyperlink ref="K18" location="'Canola (hybrid) Crop'!A1" display="Canola (hybrid)"/>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N3" sqref="N3"/>
    </sheetView>
  </sheetViews>
  <sheetFormatPr defaultColWidth="9.140625" defaultRowHeight="12.75"/>
  <cols>
    <col min="1" max="1" width="1.57421875" style="10" customWidth="1"/>
    <col min="2" max="2" width="17.140625" style="10" customWidth="1"/>
    <col min="3" max="3" width="9.421875" style="10" bestFit="1" customWidth="1"/>
    <col min="4" max="4" width="11.140625" style="10" customWidth="1"/>
    <col min="5" max="5" width="9.421875" style="10" bestFit="1" customWidth="1"/>
    <col min="6" max="6" width="9.8515625" style="10" customWidth="1"/>
    <col min="7" max="9" width="9.57421875" style="10" customWidth="1"/>
    <col min="10" max="10" width="10.00390625" style="10" customWidth="1"/>
    <col min="11" max="13" width="9.57421875" style="10" customWidth="1"/>
    <col min="14" max="14" width="29.0039062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80</v>
      </c>
    </row>
    <row r="3" spans="1:14" ht="21">
      <c r="A3" s="11"/>
      <c r="B3" s="256" t="s">
        <v>47</v>
      </c>
      <c r="C3" s="257"/>
      <c r="D3" s="257"/>
      <c r="E3" s="257"/>
      <c r="F3" s="257"/>
      <c r="G3" s="257"/>
      <c r="H3" s="257"/>
      <c r="I3" s="257"/>
      <c r="J3" s="257"/>
      <c r="K3" s="257"/>
      <c r="L3" s="257"/>
      <c r="M3" s="258"/>
      <c r="N3" s="163" t="s">
        <v>75</v>
      </c>
    </row>
    <row r="4" spans="1:14" ht="6.75" customHeight="1">
      <c r="A4" s="11"/>
      <c r="B4" s="13"/>
      <c r="C4" s="14"/>
      <c r="D4" s="14"/>
      <c r="E4" s="14"/>
      <c r="F4" s="14"/>
      <c r="G4" s="14"/>
      <c r="H4" s="14"/>
      <c r="I4" s="14"/>
      <c r="J4" s="12"/>
      <c r="K4" s="12"/>
      <c r="L4" s="12"/>
      <c r="M4" s="15"/>
      <c r="N4" s="162"/>
    </row>
    <row r="5" spans="2:14" ht="12.75">
      <c r="B5" s="259"/>
      <c r="C5" s="260"/>
      <c r="D5" s="260"/>
      <c r="E5" s="261"/>
      <c r="H5" s="12"/>
      <c r="I5" s="12"/>
      <c r="J5" s="12"/>
      <c r="K5" s="12"/>
      <c r="L5" s="12"/>
      <c r="M5" s="15"/>
      <c r="N5" s="161" t="s">
        <v>100</v>
      </c>
    </row>
    <row r="6" spans="1:13" ht="4.5" customHeight="1" thickBot="1">
      <c r="A6" s="16"/>
      <c r="B6" s="17"/>
      <c r="C6" s="18"/>
      <c r="D6" s="18"/>
      <c r="E6" s="18"/>
      <c r="F6" s="18"/>
      <c r="G6" s="18"/>
      <c r="H6" s="18"/>
      <c r="I6" s="18"/>
      <c r="J6" s="12"/>
      <c r="K6" s="12"/>
      <c r="L6" s="12"/>
      <c r="M6" s="15"/>
    </row>
    <row r="7" spans="1:13" ht="15.75" customHeight="1" thickBot="1">
      <c r="A7" s="16"/>
      <c r="B7" s="238" t="s">
        <v>39</v>
      </c>
      <c r="C7" s="239"/>
      <c r="E7" s="18"/>
      <c r="F7" s="18"/>
      <c r="G7" s="18"/>
      <c r="H7" s="19"/>
      <c r="I7" s="18"/>
      <c r="J7" s="19"/>
      <c r="K7" s="12"/>
      <c r="L7" s="12"/>
      <c r="M7" s="15"/>
    </row>
    <row r="8" spans="1:13" ht="15" customHeight="1">
      <c r="A8" s="16"/>
      <c r="B8" s="87" t="s">
        <v>1</v>
      </c>
      <c r="C8" s="21" t="str">
        <f>'Data Entry'!C7</f>
        <v>UREA</v>
      </c>
      <c r="D8" s="18"/>
      <c r="E8" s="62"/>
      <c r="F8" s="63"/>
      <c r="G8" s="63"/>
      <c r="H8" s="230" t="s">
        <v>17</v>
      </c>
      <c r="I8" s="231"/>
      <c r="J8" s="231"/>
      <c r="K8" s="231"/>
      <c r="L8" s="231"/>
      <c r="M8" s="64"/>
    </row>
    <row r="9" spans="1:13" ht="13.5">
      <c r="A9" s="16"/>
      <c r="B9" s="20" t="s">
        <v>3</v>
      </c>
      <c r="C9" s="59">
        <f>'Data Entry'!C8</f>
        <v>600</v>
      </c>
      <c r="D9" s="18"/>
      <c r="E9" s="65"/>
      <c r="F9" s="66"/>
      <c r="G9" s="66"/>
      <c r="H9" s="67"/>
      <c r="I9" s="66"/>
      <c r="J9" s="67"/>
      <c r="K9" s="68"/>
      <c r="L9" s="68"/>
      <c r="M9" s="69"/>
    </row>
    <row r="10" spans="1:13" ht="13.5">
      <c r="A10" s="16"/>
      <c r="B10" s="20" t="s">
        <v>4</v>
      </c>
      <c r="C10" s="25">
        <f>'Data Entry'!C9</f>
        <v>46</v>
      </c>
      <c r="D10" s="18"/>
      <c r="E10" s="65"/>
      <c r="F10" s="66"/>
      <c r="G10" s="26">
        <f>J10-C14*3</f>
        <v>3.5</v>
      </c>
      <c r="H10" s="26">
        <f>J10-C14*2</f>
        <v>4</v>
      </c>
      <c r="I10" s="26">
        <f>J10-C14</f>
        <v>4.5</v>
      </c>
      <c r="J10" s="27">
        <f>'Data Entry'!F14</f>
        <v>5</v>
      </c>
      <c r="K10" s="26">
        <f>J10+C14</f>
        <v>5.5</v>
      </c>
      <c r="L10" s="26">
        <f>J10+C14*2</f>
        <v>6</v>
      </c>
      <c r="M10" s="28">
        <f>J10+C14*3</f>
        <v>6.5</v>
      </c>
    </row>
    <row r="11" spans="1:13" ht="13.5">
      <c r="A11" s="16"/>
      <c r="B11" s="20" t="s">
        <v>5</v>
      </c>
      <c r="C11" s="61">
        <f>(C9/((C10/100)*2200))</f>
        <v>0.5928853754940712</v>
      </c>
      <c r="D11" s="18"/>
      <c r="E11" s="65"/>
      <c r="F11" s="29"/>
      <c r="G11" s="66"/>
      <c r="H11" s="66"/>
      <c r="I11" s="66"/>
      <c r="J11" s="68"/>
      <c r="K11" s="68"/>
      <c r="L11" s="68"/>
      <c r="M11" s="69"/>
    </row>
    <row r="12" spans="1:13" ht="13.5">
      <c r="A12" s="16"/>
      <c r="B12" s="30" t="s">
        <v>20</v>
      </c>
      <c r="C12" s="106">
        <f>'Data Entry'!C11</f>
        <v>10</v>
      </c>
      <c r="D12" s="18"/>
      <c r="E12" s="71"/>
      <c r="F12" s="29"/>
      <c r="G12" s="264" t="s">
        <v>74</v>
      </c>
      <c r="H12" s="264"/>
      <c r="I12" s="264"/>
      <c r="J12" s="264"/>
      <c r="K12" s="264"/>
      <c r="L12" s="264"/>
      <c r="M12" s="265"/>
    </row>
    <row r="13" spans="1:13" ht="14.25" thickBot="1">
      <c r="A13" s="16"/>
      <c r="B13" s="33" t="s">
        <v>113</v>
      </c>
      <c r="C13" s="46"/>
      <c r="D13" s="18"/>
      <c r="E13" s="72" t="s">
        <v>9</v>
      </c>
      <c r="F13" s="36" t="s">
        <v>41</v>
      </c>
      <c r="G13" s="228" t="s">
        <v>42</v>
      </c>
      <c r="H13" s="228"/>
      <c r="I13" s="228"/>
      <c r="J13" s="228"/>
      <c r="K13" s="228"/>
      <c r="L13" s="228"/>
      <c r="M13" s="229"/>
    </row>
    <row r="14" spans="1:13" ht="13.5">
      <c r="A14" s="16"/>
      <c r="B14" s="37" t="s">
        <v>115</v>
      </c>
      <c r="C14" s="61">
        <f>'Data Entry'!C13</f>
        <v>0.5</v>
      </c>
      <c r="D14" s="18"/>
      <c r="E14" s="74" t="s">
        <v>11</v>
      </c>
      <c r="F14" s="75" t="s">
        <v>12</v>
      </c>
      <c r="G14" s="41"/>
      <c r="H14" s="41"/>
      <c r="I14" s="41"/>
      <c r="J14" s="41"/>
      <c r="K14" s="41"/>
      <c r="L14" s="41"/>
      <c r="M14" s="112"/>
    </row>
    <row r="15" spans="1:13" ht="13.5">
      <c r="A15" s="16"/>
      <c r="B15" s="43" t="s">
        <v>28</v>
      </c>
      <c r="C15" s="46"/>
      <c r="D15" s="18"/>
      <c r="E15" s="195">
        <f>IF((E19-4*$C$12)&lt;0,0,(E19-4*$C$12))</f>
        <v>50</v>
      </c>
      <c r="F15" s="128">
        <f>IF((((-0.0015*(E15+$C$16)^2+0.4902*(E15+$C$16))-(-0.0015*($C$16)^2+0.4902*($C$16)))-((-0.0015*((E15-$C$12)+$C$16)^2+0.4902*((E15-$C$12)+$C$16))-(-0.0015*($C$16)^2+0.4902*($C$16))))&lt;0,0,((-0.0015*(E15+$C$16)^2+0.4902*(E15+$C$16))-(-0.0015*($C$16)^2+0.4902*($C$16)))-((-0.0015*((E15-$C$12)+$C$16)^2+0.4902*((E15-$C$12)+$C$16))-(-0.0015*($C$16)^2+0.4902*($C$16))))</f>
        <v>2.652000000000001</v>
      </c>
      <c r="G15" s="119">
        <f aca="true" t="shared" si="0" ref="G15:G23">($F15*G$10)/($C$12*$C$11)</f>
        <v>1.5655640000000004</v>
      </c>
      <c r="H15" s="119">
        <f aca="true" t="shared" si="1" ref="H15:M23">($F15*H$10)/($C$12*$C$11)</f>
        <v>1.7892160000000006</v>
      </c>
      <c r="I15" s="119">
        <f t="shared" si="1"/>
        <v>2.0128680000000005</v>
      </c>
      <c r="J15" s="119">
        <f t="shared" si="1"/>
        <v>2.2365200000000005</v>
      </c>
      <c r="K15" s="119">
        <f t="shared" si="1"/>
        <v>2.460172000000001</v>
      </c>
      <c r="L15" s="119">
        <f t="shared" si="1"/>
        <v>2.683824000000001</v>
      </c>
      <c r="M15" s="126">
        <f t="shared" si="1"/>
        <v>2.907476000000001</v>
      </c>
    </row>
    <row r="16" spans="1:13" ht="13.5">
      <c r="A16" s="16"/>
      <c r="B16" s="37" t="s">
        <v>29</v>
      </c>
      <c r="C16" s="107">
        <f>'Data Entry'!C15</f>
        <v>30</v>
      </c>
      <c r="D16" s="18"/>
      <c r="E16" s="195">
        <f>IF((E20-4*$C$12)&lt;0,0,(E20-4*$C$12))</f>
        <v>60</v>
      </c>
      <c r="F16" s="128">
        <f>IF((((-0.0015*(E16+$C$16)^2+0.4902*(E16+$C$16))-(-0.0015*($C$16)^2+0.4902*($C$16)))-((-0.0015*(E15+$C$16)^2+0.4902*(E15+$C$16))-(-0.0015*($C$16)^2+0.4902*($C$16))))&lt;0,0,((-0.0015*(E16+$C$16)^2+0.4902*(E16+$C$16))-(-0.0015*($C$16)^2+0.4902*($C$16)))-((-0.0015*(E15+$C$16)^2+0.4902*(E15+$C$16))-(-0.0015*($C$16)^2+0.4902*($C$16))))</f>
        <v>2.352000000000004</v>
      </c>
      <c r="G16" s="119">
        <f t="shared" si="0"/>
        <v>1.3884640000000021</v>
      </c>
      <c r="H16" s="119">
        <f t="shared" si="1"/>
        <v>1.5868160000000024</v>
      </c>
      <c r="I16" s="119">
        <f t="shared" si="1"/>
        <v>1.7851680000000028</v>
      </c>
      <c r="J16" s="119">
        <f t="shared" si="1"/>
        <v>1.983520000000003</v>
      </c>
      <c r="K16" s="119">
        <f t="shared" si="1"/>
        <v>2.1818720000000034</v>
      </c>
      <c r="L16" s="119">
        <f t="shared" si="1"/>
        <v>2.3802240000000037</v>
      </c>
      <c r="M16" s="126">
        <f t="shared" si="1"/>
        <v>2.578576000000004</v>
      </c>
    </row>
    <row r="17" spans="1:13" ht="13.5">
      <c r="A17" s="16"/>
      <c r="B17" s="43" t="s">
        <v>30</v>
      </c>
      <c r="C17" s="46"/>
      <c r="D17" s="18"/>
      <c r="E17" s="195">
        <f>IF((E21-4*$C$12)&lt;0,0,(E21-4*$C$12))</f>
        <v>70</v>
      </c>
      <c r="F17" s="128">
        <f aca="true" t="shared" si="2" ref="F17:F23">IF((((-0.0015*(E17+$C$16)^2+0.4902*(E17+$C$16))-(-0.0015*($C$16)^2+0.4902*($C$16)))-((-0.0015*(E16+$C$16)^2+0.4902*(E16+$C$16))-(-0.0015*($C$16)^2+0.4902*($C$16))))&lt;0,0,((-0.0015*(E17+$C$16)^2+0.4902*(E17+$C$16))-(-0.0015*($C$16)^2+0.4902*($C$16)))-((-0.0015*(E16+$C$16)^2+0.4902*(E16+$C$16))-(-0.0015*($C$16)^2+0.4902*($C$16))))</f>
        <v>2.0519999999999996</v>
      </c>
      <c r="G17" s="119">
        <f t="shared" si="0"/>
        <v>1.2113639999999997</v>
      </c>
      <c r="H17" s="119">
        <f t="shared" si="1"/>
        <v>1.3844159999999996</v>
      </c>
      <c r="I17" s="119">
        <f t="shared" si="1"/>
        <v>1.5574679999999996</v>
      </c>
      <c r="J17" s="119">
        <f t="shared" si="1"/>
        <v>1.7305199999999996</v>
      </c>
      <c r="K17" s="119">
        <f t="shared" si="1"/>
        <v>1.9035719999999996</v>
      </c>
      <c r="L17" s="119">
        <f t="shared" si="1"/>
        <v>2.0766239999999994</v>
      </c>
      <c r="M17" s="126">
        <f t="shared" si="1"/>
        <v>2.2496759999999996</v>
      </c>
    </row>
    <row r="18" spans="1:13" ht="14.25" thickBot="1">
      <c r="A18" s="16"/>
      <c r="B18" s="17"/>
      <c r="C18" s="18"/>
      <c r="D18" s="18"/>
      <c r="E18" s="198">
        <f>IF((E22-4*$C$12)&lt;0,0,(E22-4*$C$12))</f>
        <v>80</v>
      </c>
      <c r="F18" s="128">
        <f t="shared" si="2"/>
        <v>1.7520000000000024</v>
      </c>
      <c r="G18" s="119">
        <f t="shared" si="0"/>
        <v>1.0342640000000014</v>
      </c>
      <c r="H18" s="119">
        <f t="shared" si="1"/>
        <v>1.1820160000000015</v>
      </c>
      <c r="I18" s="119">
        <f t="shared" si="1"/>
        <v>1.3297680000000018</v>
      </c>
      <c r="J18" s="119">
        <f t="shared" si="1"/>
        <v>1.477520000000002</v>
      </c>
      <c r="K18" s="119">
        <f t="shared" si="1"/>
        <v>1.625272000000002</v>
      </c>
      <c r="L18" s="119">
        <f t="shared" si="1"/>
        <v>1.7730240000000024</v>
      </c>
      <c r="M18" s="126">
        <f t="shared" si="1"/>
        <v>1.9207760000000025</v>
      </c>
    </row>
    <row r="19" spans="1:13" ht="14.25" thickBot="1">
      <c r="A19" s="16"/>
      <c r="B19" s="47"/>
      <c r="C19" s="48"/>
      <c r="D19" s="49" t="s">
        <v>13</v>
      </c>
      <c r="E19" s="50">
        <f>'Data Entry'!F9</f>
        <v>90</v>
      </c>
      <c r="F19" s="197">
        <f t="shared" si="2"/>
        <v>1.4519999999999982</v>
      </c>
      <c r="G19" s="119">
        <f t="shared" si="0"/>
        <v>0.8571639999999988</v>
      </c>
      <c r="H19" s="119">
        <f t="shared" si="1"/>
        <v>0.9796159999999987</v>
      </c>
      <c r="I19" s="119">
        <f t="shared" si="1"/>
        <v>1.1020679999999985</v>
      </c>
      <c r="J19" s="119">
        <f t="shared" si="1"/>
        <v>1.2245199999999983</v>
      </c>
      <c r="K19" s="119">
        <f t="shared" si="1"/>
        <v>1.3469719999999983</v>
      </c>
      <c r="L19" s="119">
        <f t="shared" si="1"/>
        <v>1.469423999999998</v>
      </c>
      <c r="M19" s="126">
        <f t="shared" si="1"/>
        <v>1.5918759999999978</v>
      </c>
    </row>
    <row r="20" spans="1:13" ht="13.5">
      <c r="A20" s="16"/>
      <c r="B20" s="17"/>
      <c r="C20" s="18"/>
      <c r="D20" s="18"/>
      <c r="E20" s="199">
        <f>E19+C12</f>
        <v>100</v>
      </c>
      <c r="F20" s="128">
        <f t="shared" si="2"/>
        <v>1.152000000000001</v>
      </c>
      <c r="G20" s="119">
        <f t="shared" si="0"/>
        <v>0.6800640000000006</v>
      </c>
      <c r="H20" s="119">
        <f t="shared" si="1"/>
        <v>0.7772160000000007</v>
      </c>
      <c r="I20" s="119">
        <f t="shared" si="1"/>
        <v>0.8743680000000007</v>
      </c>
      <c r="J20" s="119">
        <f t="shared" si="1"/>
        <v>0.9715200000000008</v>
      </c>
      <c r="K20" s="119">
        <f t="shared" si="1"/>
        <v>1.068672000000001</v>
      </c>
      <c r="L20" s="119">
        <f t="shared" si="1"/>
        <v>1.1658240000000009</v>
      </c>
      <c r="M20" s="126">
        <f t="shared" si="1"/>
        <v>1.262976000000001</v>
      </c>
    </row>
    <row r="21" spans="1:13" ht="13.5">
      <c r="A21" s="16"/>
      <c r="B21" s="17"/>
      <c r="C21" s="52"/>
      <c r="D21" s="18"/>
      <c r="E21" s="195">
        <f>E19+2*C12</f>
        <v>110</v>
      </c>
      <c r="F21" s="128">
        <f t="shared" si="2"/>
        <v>0.8519999999999897</v>
      </c>
      <c r="G21" s="119">
        <f t="shared" si="0"/>
        <v>0.5029639999999939</v>
      </c>
      <c r="H21" s="119">
        <f t="shared" si="1"/>
        <v>0.574815999999993</v>
      </c>
      <c r="I21" s="119">
        <f t="shared" si="1"/>
        <v>0.6466679999999921</v>
      </c>
      <c r="J21" s="119">
        <f t="shared" si="1"/>
        <v>0.7185199999999913</v>
      </c>
      <c r="K21" s="119">
        <f t="shared" si="1"/>
        <v>0.7903719999999903</v>
      </c>
      <c r="L21" s="119">
        <f t="shared" si="1"/>
        <v>0.8622239999999894</v>
      </c>
      <c r="M21" s="126">
        <f t="shared" si="1"/>
        <v>0.9340759999999886</v>
      </c>
    </row>
    <row r="22" spans="1:13" ht="13.5">
      <c r="A22" s="16"/>
      <c r="B22" s="17"/>
      <c r="C22" s="18"/>
      <c r="D22" s="18"/>
      <c r="E22" s="195">
        <f>E19+3*C12</f>
        <v>120</v>
      </c>
      <c r="F22" s="128">
        <f t="shared" si="2"/>
        <v>0.5520000000000067</v>
      </c>
      <c r="G22" s="119">
        <f t="shared" si="0"/>
        <v>0.32586400000000393</v>
      </c>
      <c r="H22" s="119">
        <f t="shared" si="1"/>
        <v>0.3724160000000045</v>
      </c>
      <c r="I22" s="119">
        <f t="shared" si="1"/>
        <v>0.41896800000000506</v>
      </c>
      <c r="J22" s="119">
        <f t="shared" si="1"/>
        <v>0.46552000000000565</v>
      </c>
      <c r="K22" s="119">
        <f t="shared" si="1"/>
        <v>0.5120720000000062</v>
      </c>
      <c r="L22" s="119">
        <f t="shared" si="1"/>
        <v>0.5586240000000068</v>
      </c>
      <c r="M22" s="126">
        <f t="shared" si="1"/>
        <v>0.6051760000000073</v>
      </c>
    </row>
    <row r="23" spans="1:13" ht="13.5">
      <c r="A23" s="16"/>
      <c r="B23" s="17"/>
      <c r="C23" s="18"/>
      <c r="D23" s="18"/>
      <c r="E23" s="195">
        <f>E19+4*C12</f>
        <v>130</v>
      </c>
      <c r="F23" s="128">
        <f t="shared" si="2"/>
        <v>0.25200000000000244</v>
      </c>
      <c r="G23" s="119">
        <f t="shared" si="0"/>
        <v>0.14876400000000142</v>
      </c>
      <c r="H23" s="119">
        <f t="shared" si="1"/>
        <v>0.17001600000000164</v>
      </c>
      <c r="I23" s="119">
        <f t="shared" si="1"/>
        <v>0.19126800000000185</v>
      </c>
      <c r="J23" s="119">
        <f t="shared" si="1"/>
        <v>0.21252000000000204</v>
      </c>
      <c r="K23" s="119">
        <f t="shared" si="1"/>
        <v>0.23377200000000226</v>
      </c>
      <c r="L23" s="119">
        <f t="shared" si="1"/>
        <v>0.25502400000000247</v>
      </c>
      <c r="M23" s="126">
        <f t="shared" si="1"/>
        <v>0.2762760000000027</v>
      </c>
    </row>
    <row r="24" spans="1:13" ht="13.5" customHeight="1">
      <c r="A24" s="16"/>
      <c r="B24" s="17"/>
      <c r="C24" s="18"/>
      <c r="D24" s="18"/>
      <c r="E24" s="78" t="s">
        <v>90</v>
      </c>
      <c r="F24" s="122"/>
      <c r="G24" s="122"/>
      <c r="H24" s="122"/>
      <c r="I24" s="12"/>
      <c r="J24" s="80"/>
      <c r="K24" s="200">
        <f>C12</f>
        <v>10</v>
      </c>
      <c r="L24" s="77" t="s">
        <v>30</v>
      </c>
      <c r="M24" s="123"/>
    </row>
    <row r="25" spans="1:13" ht="9.75" customHeight="1">
      <c r="A25" s="16"/>
      <c r="B25" s="17"/>
      <c r="C25" s="18"/>
      <c r="D25" s="18"/>
      <c r="E25" s="78" t="s">
        <v>114</v>
      </c>
      <c r="F25" s="122"/>
      <c r="G25" s="122"/>
      <c r="H25" s="122"/>
      <c r="I25" s="12"/>
      <c r="J25" s="80"/>
      <c r="K25" s="80"/>
      <c r="L25" s="80"/>
      <c r="M25" s="123"/>
    </row>
    <row r="26" spans="1:13" ht="9.75" customHeight="1">
      <c r="A26" s="16"/>
      <c r="B26" s="17"/>
      <c r="C26" s="18"/>
      <c r="D26" s="18"/>
      <c r="E26" s="79" t="s">
        <v>102</v>
      </c>
      <c r="F26" s="12"/>
      <c r="G26" s="122"/>
      <c r="H26" s="122"/>
      <c r="I26" s="122"/>
      <c r="J26" s="122"/>
      <c r="K26" s="122"/>
      <c r="L26" s="122"/>
      <c r="M26" s="123"/>
    </row>
    <row r="27" spans="1:13" ht="9.75" customHeight="1" thickBot="1">
      <c r="A27" s="16"/>
      <c r="B27" s="17"/>
      <c r="C27" s="18"/>
      <c r="D27" s="18"/>
      <c r="E27" s="125"/>
      <c r="F27" s="124"/>
      <c r="G27" s="124"/>
      <c r="H27" s="124"/>
      <c r="I27" s="154"/>
      <c r="J27" s="120"/>
      <c r="K27" s="120"/>
      <c r="L27" s="120"/>
      <c r="M27" s="121"/>
    </row>
    <row r="28" spans="2:13" ht="11.25" customHeight="1" thickBot="1">
      <c r="B28" s="224"/>
      <c r="C28" s="225"/>
      <c r="D28" s="225"/>
      <c r="E28" s="225"/>
      <c r="F28" s="225"/>
      <c r="G28" s="225"/>
      <c r="H28" s="225"/>
      <c r="I28" s="225"/>
      <c r="J28" s="55"/>
      <c r="K28" s="55"/>
      <c r="L28" s="55"/>
      <c r="M28" s="56"/>
    </row>
  </sheetData>
  <sheetProtection/>
  <mergeCells count="8">
    <mergeCell ref="B28:I28"/>
    <mergeCell ref="B2:M2"/>
    <mergeCell ref="B3:M3"/>
    <mergeCell ref="B7:C7"/>
    <mergeCell ref="B5:E5"/>
    <mergeCell ref="H8:L8"/>
    <mergeCell ref="G12:M12"/>
    <mergeCell ref="G13:M13"/>
  </mergeCells>
  <conditionalFormatting sqref="G16:M23 H15:M15">
    <cfRule type="cellIs" priority="1" dxfId="2" operator="between" stopIfTrue="1">
      <formula>1.45</formula>
      <formula>1.55</formula>
    </cfRule>
    <cfRule type="cellIs" priority="2" dxfId="0" operator="between" stopIfTrue="1">
      <formula>1.35</formula>
      <formula>1.45</formula>
    </cfRule>
    <cfRule type="cellIs" priority="3" dxfId="0" operator="between" stopIfTrue="1">
      <formula>1.55</formula>
      <formula>1.65</formula>
    </cfRule>
  </conditionalFormatting>
  <hyperlinks>
    <hyperlink ref="N3" location="'Wheat (Moist) Fertilizer'!A1" display="Go to Fertilizer as a variable"/>
    <hyperlink ref="N2" location="'Wheat (Moist) Crop'!A1" display="Return to Wheat (Moist)  as variable"/>
    <hyperlink ref="N5" location="'Data Entry'!A1" display="Return to Data Entry"/>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N2" sqref="N2"/>
    </sheetView>
  </sheetViews>
  <sheetFormatPr defaultColWidth="9.140625" defaultRowHeight="12.75"/>
  <cols>
    <col min="1" max="1" width="1.57421875" style="10" customWidth="1"/>
    <col min="2" max="2" width="17.140625" style="10" customWidth="1"/>
    <col min="3" max="3" width="9.140625" style="10" customWidth="1"/>
    <col min="4" max="4" width="11.140625" style="10" customWidth="1"/>
    <col min="5" max="5" width="9.140625" style="10" customWidth="1"/>
    <col min="6" max="6" width="10.28125" style="10" customWidth="1"/>
    <col min="7" max="13" width="9.140625" style="10" customWidth="1"/>
    <col min="14" max="14" width="28.42187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81</v>
      </c>
    </row>
    <row r="3" spans="1:14" ht="21">
      <c r="A3" s="11"/>
      <c r="B3" s="256" t="s">
        <v>48</v>
      </c>
      <c r="C3" s="257"/>
      <c r="D3" s="257"/>
      <c r="E3" s="257"/>
      <c r="F3" s="257"/>
      <c r="G3" s="257"/>
      <c r="H3" s="257"/>
      <c r="I3" s="257"/>
      <c r="J3" s="257"/>
      <c r="K3" s="257"/>
      <c r="L3" s="257"/>
      <c r="M3" s="258"/>
      <c r="N3" s="163" t="s">
        <v>76</v>
      </c>
    </row>
    <row r="4" spans="1:14" ht="6.75" customHeight="1">
      <c r="A4" s="11"/>
      <c r="B4" s="13"/>
      <c r="C4" s="14"/>
      <c r="D4" s="14"/>
      <c r="E4" s="14"/>
      <c r="F4" s="14"/>
      <c r="G4" s="14"/>
      <c r="H4" s="14"/>
      <c r="I4" s="14"/>
      <c r="J4" s="12"/>
      <c r="K4" s="12"/>
      <c r="L4" s="12"/>
      <c r="M4" s="15"/>
      <c r="N4" s="162"/>
    </row>
    <row r="5" spans="2:14" ht="12.75">
      <c r="B5" s="259"/>
      <c r="C5" s="260"/>
      <c r="D5" s="260"/>
      <c r="E5" s="261"/>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39</v>
      </c>
      <c r="C7" s="239"/>
      <c r="E7" s="18"/>
      <c r="F7" s="18"/>
      <c r="G7" s="18"/>
      <c r="H7" s="19"/>
      <c r="I7" s="18"/>
      <c r="J7" s="19"/>
      <c r="K7" s="12"/>
      <c r="L7" s="12"/>
      <c r="M7" s="15"/>
    </row>
    <row r="8" spans="1:13" ht="15" customHeight="1">
      <c r="A8" s="16"/>
      <c r="B8" s="87" t="s">
        <v>1</v>
      </c>
      <c r="C8" s="21" t="str">
        <f>'Data Entry'!C7</f>
        <v>UREA</v>
      </c>
      <c r="D8" s="18"/>
      <c r="E8" s="22"/>
      <c r="F8" s="23"/>
      <c r="G8" s="23"/>
      <c r="H8" s="262" t="s">
        <v>17</v>
      </c>
      <c r="I8" s="263"/>
      <c r="J8" s="263"/>
      <c r="K8" s="263"/>
      <c r="L8" s="263"/>
      <c r="M8" s="24"/>
    </row>
    <row r="9" spans="1:13" ht="13.5">
      <c r="A9" s="16"/>
      <c r="B9" s="20" t="s">
        <v>3</v>
      </c>
      <c r="C9" s="59">
        <f>'Data Entry'!C8</f>
        <v>600</v>
      </c>
      <c r="D9" s="18"/>
      <c r="E9" s="17"/>
      <c r="F9" s="18"/>
      <c r="G9" s="18"/>
      <c r="H9" s="19"/>
      <c r="I9" s="18"/>
      <c r="J9" s="19"/>
      <c r="K9" s="12"/>
      <c r="L9" s="12"/>
      <c r="M9" s="15"/>
    </row>
    <row r="10" spans="1:13" ht="13.5">
      <c r="A10" s="16"/>
      <c r="B10" s="20" t="s">
        <v>4</v>
      </c>
      <c r="C10" s="25">
        <f>'Data Entry'!C9</f>
        <v>46</v>
      </c>
      <c r="D10" s="18"/>
      <c r="E10" s="17"/>
      <c r="F10" s="18"/>
      <c r="G10" s="26">
        <f>J10-C14*3</f>
        <v>3.5</v>
      </c>
      <c r="H10" s="26">
        <f>J10-C14*2</f>
        <v>4</v>
      </c>
      <c r="I10" s="26">
        <f>J10-C14</f>
        <v>4.5</v>
      </c>
      <c r="J10" s="27">
        <f>'Data Entry'!F14</f>
        <v>5</v>
      </c>
      <c r="K10" s="26">
        <f>J10+C14</f>
        <v>5.5</v>
      </c>
      <c r="L10" s="26">
        <f>J10+C14*2</f>
        <v>6</v>
      </c>
      <c r="M10" s="28">
        <f>J10+C14*3</f>
        <v>6.5</v>
      </c>
    </row>
    <row r="11" spans="1:13" ht="13.5">
      <c r="A11" s="16"/>
      <c r="B11" s="20" t="s">
        <v>5</v>
      </c>
      <c r="C11" s="61">
        <f>(C9/((C10/100)*2200))</f>
        <v>0.5928853754940712</v>
      </c>
      <c r="D11" s="18"/>
      <c r="E11" s="17"/>
      <c r="F11" s="29"/>
      <c r="G11" s="18"/>
      <c r="H11" s="18"/>
      <c r="I11" s="18"/>
      <c r="J11" s="12"/>
      <c r="K11" s="12"/>
      <c r="L11" s="12"/>
      <c r="M11" s="15"/>
    </row>
    <row r="12" spans="1:13" ht="13.5">
      <c r="A12" s="16"/>
      <c r="B12" s="30" t="s">
        <v>20</v>
      </c>
      <c r="C12" s="31">
        <f>'Data Entry'!C11</f>
        <v>10</v>
      </c>
      <c r="D12" s="18"/>
      <c r="E12" s="32"/>
      <c r="F12" s="29"/>
      <c r="G12" s="264" t="s">
        <v>74</v>
      </c>
      <c r="H12" s="264"/>
      <c r="I12" s="264"/>
      <c r="J12" s="264"/>
      <c r="K12" s="264"/>
      <c r="L12" s="264"/>
      <c r="M12" s="265"/>
    </row>
    <row r="13" spans="1:13" ht="14.25" thickBot="1">
      <c r="A13" s="16"/>
      <c r="B13" s="33" t="s">
        <v>113</v>
      </c>
      <c r="C13" s="34"/>
      <c r="D13" s="18"/>
      <c r="E13" s="35" t="s">
        <v>9</v>
      </c>
      <c r="F13" s="36" t="s">
        <v>41</v>
      </c>
      <c r="G13" s="228" t="s">
        <v>42</v>
      </c>
      <c r="H13" s="228"/>
      <c r="I13" s="228"/>
      <c r="J13" s="228"/>
      <c r="K13" s="228"/>
      <c r="L13" s="228"/>
      <c r="M13" s="229"/>
    </row>
    <row r="14" spans="1:13" ht="13.5">
      <c r="A14" s="16"/>
      <c r="B14" s="37" t="s">
        <v>115</v>
      </c>
      <c r="C14" s="57">
        <f>'Data Entry'!C13</f>
        <v>0.5</v>
      </c>
      <c r="D14" s="18"/>
      <c r="E14" s="39" t="s">
        <v>11</v>
      </c>
      <c r="F14" s="40" t="s">
        <v>12</v>
      </c>
      <c r="G14" s="41"/>
      <c r="H14" s="41"/>
      <c r="I14" s="41"/>
      <c r="J14" s="41"/>
      <c r="K14" s="41"/>
      <c r="L14" s="41"/>
      <c r="M14" s="112"/>
    </row>
    <row r="15" spans="1:13" ht="13.5">
      <c r="A15" s="16"/>
      <c r="B15" s="43" t="s">
        <v>28</v>
      </c>
      <c r="C15" s="34"/>
      <c r="D15" s="18"/>
      <c r="E15" s="195">
        <f>IF((E19-4*$C$12)&lt;0,0,(E19-4*$C$12))</f>
        <v>30</v>
      </c>
      <c r="F15" s="128">
        <f>IF((((-0.0013*(E15+$C$16)^2+0.4159*(E15+$C$16))-(-0.0013*($C$16)^2+0.4159*($C$16)))-((-0.0013*((E15-$C$12)+$C$16)^2+0.4159*((E15-$C$12)+$C$16))-(-0.0013*($C$16)^2+0.4159*($C$16))))&lt;0,0,((-0.0013*(E15+$C$16)^2+0.4159*(E15+$C$16))-(-0.0013*($C$16)^2+0.4159*($C$16)))-((-0.0013*((E15-$C$12)+$C$16)^2+0.4159*((E15-$C$12)+$C$16))-(-0.0013*($C$16)^2+0.4159*($C$16))))</f>
        <v>2.7290000000000028</v>
      </c>
      <c r="G15" s="119">
        <f aca="true" t="shared" si="0" ref="G15:G23">($F15*G$10)/($C$12*$C$11)</f>
        <v>1.6110196666666683</v>
      </c>
      <c r="H15" s="119">
        <f aca="true" t="shared" si="1" ref="H15:M23">($F15*H$10)/($C$12*$C$11)</f>
        <v>1.841165333333335</v>
      </c>
      <c r="I15" s="119">
        <f t="shared" si="1"/>
        <v>2.071311000000002</v>
      </c>
      <c r="J15" s="119">
        <f t="shared" si="1"/>
        <v>2.301456666666669</v>
      </c>
      <c r="K15" s="119">
        <f t="shared" si="1"/>
        <v>2.5316023333333355</v>
      </c>
      <c r="L15" s="119">
        <f t="shared" si="1"/>
        <v>2.7617480000000025</v>
      </c>
      <c r="M15" s="126">
        <f t="shared" si="1"/>
        <v>2.991893666666669</v>
      </c>
    </row>
    <row r="16" spans="1:13" ht="13.5">
      <c r="A16" s="16"/>
      <c r="B16" s="37" t="s">
        <v>29</v>
      </c>
      <c r="C16" s="45">
        <f>'Data Entry'!C15</f>
        <v>30</v>
      </c>
      <c r="D16" s="18"/>
      <c r="E16" s="195">
        <f>IF((E20-4*$C$12)&lt;0,0,(E20-4*$C$12))</f>
        <v>40</v>
      </c>
      <c r="F16" s="128">
        <f>IF((((-0.0013*(E16+$C$16)^2+0.4159*(E16+$C$16))-(-0.0013*($C$16)^2+0.4159*($C$16)))-((-0.0013*(E15+$C$16)^2+0.4159*(E15+$C$16))-(-0.0013*($C$16)^2+0.4159*($C$16))))&lt;0,0,((-0.0013*(E16+$C$16)^2+0.4159*(E16+$C$16))-(-0.0013*($C$16)^2+0.4159*($C$16)))-((-0.0013*(E15+$C$16)^2+0.4159*(E15+$C$16))-(-0.0013*($C$16)^2+0.4159*($C$16))))</f>
        <v>2.4689999999999976</v>
      </c>
      <c r="G16" s="119">
        <f t="shared" si="0"/>
        <v>1.4575329999999984</v>
      </c>
      <c r="H16" s="119">
        <f t="shared" si="1"/>
        <v>1.6657519999999983</v>
      </c>
      <c r="I16" s="119">
        <f t="shared" si="1"/>
        <v>1.873970999999998</v>
      </c>
      <c r="J16" s="119">
        <f t="shared" si="1"/>
        <v>2.082189999999998</v>
      </c>
      <c r="K16" s="119">
        <f t="shared" si="1"/>
        <v>2.2904089999999977</v>
      </c>
      <c r="L16" s="119">
        <f t="shared" si="1"/>
        <v>2.4986279999999974</v>
      </c>
      <c r="M16" s="126">
        <f t="shared" si="1"/>
        <v>2.706846999999997</v>
      </c>
    </row>
    <row r="17" spans="1:13" ht="13.5">
      <c r="A17" s="16"/>
      <c r="B17" s="43" t="s">
        <v>30</v>
      </c>
      <c r="C17" s="46"/>
      <c r="D17" s="18"/>
      <c r="E17" s="195">
        <f>IF((E21-4*$C$12)&lt;0,0,(E21-4*$C$12))</f>
        <v>50</v>
      </c>
      <c r="F17" s="128">
        <f aca="true" t="shared" si="2" ref="F17:F23">IF((((-0.0013*(E17+$C$16)^2+0.4159*(E17+$C$16))-(-0.0013*($C$16)^2+0.4159*($C$16)))-((-0.0013*(E16+$C$16)^2+0.4159*(E16+$C$16))-(-0.0013*($C$16)^2+0.4159*($C$16))))&lt;0,0,((-0.0013*(E17+$C$16)^2+0.4159*(E17+$C$16))-(-0.0013*($C$16)^2+0.4159*($C$16)))-((-0.0013*(E16+$C$16)^2+0.4159*(E16+$C$16))-(-0.0013*($C$16)^2+0.4159*($C$16))))</f>
        <v>2.2089999999999996</v>
      </c>
      <c r="G17" s="119">
        <f t="shared" si="0"/>
        <v>1.304046333333333</v>
      </c>
      <c r="H17" s="119">
        <f t="shared" si="1"/>
        <v>1.4903386666666663</v>
      </c>
      <c r="I17" s="119">
        <f t="shared" si="1"/>
        <v>1.6766309999999995</v>
      </c>
      <c r="J17" s="119">
        <f t="shared" si="1"/>
        <v>1.8629233333333328</v>
      </c>
      <c r="K17" s="119">
        <f t="shared" si="1"/>
        <v>2.049215666666666</v>
      </c>
      <c r="L17" s="119">
        <f t="shared" si="1"/>
        <v>2.2355079999999994</v>
      </c>
      <c r="M17" s="126">
        <f t="shared" si="1"/>
        <v>2.4218003333333327</v>
      </c>
    </row>
    <row r="18" spans="1:13" ht="14.25" thickBot="1">
      <c r="A18" s="16"/>
      <c r="B18" s="17"/>
      <c r="C18" s="18"/>
      <c r="D18" s="18"/>
      <c r="E18" s="198">
        <f>IF((E22-4*$C$12)&lt;0,0,(E22-4*$C$12))</f>
        <v>60</v>
      </c>
      <c r="F18" s="128">
        <f t="shared" si="2"/>
        <v>1.948999999999998</v>
      </c>
      <c r="G18" s="119">
        <f t="shared" si="0"/>
        <v>1.1505596666666655</v>
      </c>
      <c r="H18" s="119">
        <f t="shared" si="1"/>
        <v>1.314925333333332</v>
      </c>
      <c r="I18" s="119">
        <f t="shared" si="1"/>
        <v>1.4792909999999984</v>
      </c>
      <c r="J18" s="119">
        <f t="shared" si="1"/>
        <v>1.643656666666665</v>
      </c>
      <c r="K18" s="119">
        <f t="shared" si="1"/>
        <v>1.8080223333333314</v>
      </c>
      <c r="L18" s="119">
        <f t="shared" si="1"/>
        <v>1.9723879999999978</v>
      </c>
      <c r="M18" s="126">
        <f t="shared" si="1"/>
        <v>2.136753666666664</v>
      </c>
    </row>
    <row r="19" spans="1:13" ht="14.25" thickBot="1">
      <c r="A19" s="16"/>
      <c r="B19" s="47"/>
      <c r="C19" s="48"/>
      <c r="D19" s="49" t="s">
        <v>13</v>
      </c>
      <c r="E19" s="50">
        <f>'Data Entry'!G9</f>
        <v>70</v>
      </c>
      <c r="F19" s="197">
        <f t="shared" si="2"/>
        <v>1.6889999999999983</v>
      </c>
      <c r="G19" s="119">
        <f t="shared" si="0"/>
        <v>0.9970729999999989</v>
      </c>
      <c r="H19" s="119">
        <f t="shared" si="1"/>
        <v>1.1395119999999987</v>
      </c>
      <c r="I19" s="119">
        <f t="shared" si="1"/>
        <v>1.2819509999999985</v>
      </c>
      <c r="J19" s="119">
        <f t="shared" si="1"/>
        <v>1.4243899999999985</v>
      </c>
      <c r="K19" s="119">
        <f t="shared" si="1"/>
        <v>1.5668289999999983</v>
      </c>
      <c r="L19" s="119">
        <f t="shared" si="1"/>
        <v>1.7092679999999982</v>
      </c>
      <c r="M19" s="126">
        <f t="shared" si="1"/>
        <v>1.8517069999999982</v>
      </c>
    </row>
    <row r="20" spans="1:13" ht="13.5">
      <c r="A20" s="16"/>
      <c r="B20" s="17"/>
      <c r="C20" s="18"/>
      <c r="D20" s="18"/>
      <c r="E20" s="199">
        <f>E19+C12</f>
        <v>80</v>
      </c>
      <c r="F20" s="128">
        <f t="shared" si="2"/>
        <v>1.4290000000000092</v>
      </c>
      <c r="G20" s="119">
        <f t="shared" si="0"/>
        <v>0.8435863333333387</v>
      </c>
      <c r="H20" s="119">
        <f t="shared" si="1"/>
        <v>0.9640986666666728</v>
      </c>
      <c r="I20" s="119">
        <f t="shared" si="1"/>
        <v>1.0846110000000069</v>
      </c>
      <c r="J20" s="119">
        <f t="shared" si="1"/>
        <v>1.2051233333333409</v>
      </c>
      <c r="K20" s="119">
        <f t="shared" si="1"/>
        <v>1.325635666666675</v>
      </c>
      <c r="L20" s="119">
        <f t="shared" si="1"/>
        <v>1.446148000000009</v>
      </c>
      <c r="M20" s="126">
        <f t="shared" si="1"/>
        <v>1.5666603333333433</v>
      </c>
    </row>
    <row r="21" spans="1:13" ht="13.5">
      <c r="A21" s="16"/>
      <c r="B21" s="17"/>
      <c r="C21" s="52"/>
      <c r="D21" s="18"/>
      <c r="E21" s="195">
        <f>E19+2*C12</f>
        <v>90</v>
      </c>
      <c r="F21" s="128">
        <f t="shared" si="2"/>
        <v>1.168999999999997</v>
      </c>
      <c r="G21" s="119">
        <f t="shared" si="0"/>
        <v>0.6900996666666648</v>
      </c>
      <c r="H21" s="119">
        <f t="shared" si="1"/>
        <v>0.7886853333333312</v>
      </c>
      <c r="I21" s="119">
        <f t="shared" si="1"/>
        <v>0.8872709999999976</v>
      </c>
      <c r="J21" s="119">
        <f t="shared" si="1"/>
        <v>0.985856666666664</v>
      </c>
      <c r="K21" s="119">
        <f t="shared" si="1"/>
        <v>1.0844423333333304</v>
      </c>
      <c r="L21" s="119">
        <f t="shared" si="1"/>
        <v>1.1830279999999969</v>
      </c>
      <c r="M21" s="126">
        <f t="shared" si="1"/>
        <v>1.2816136666666633</v>
      </c>
    </row>
    <row r="22" spans="1:13" ht="13.5">
      <c r="A22" s="16"/>
      <c r="B22" s="17"/>
      <c r="C22" s="18"/>
      <c r="D22" s="18"/>
      <c r="E22" s="195">
        <f>E19+3*C12</f>
        <v>100</v>
      </c>
      <c r="F22" s="128">
        <f t="shared" si="2"/>
        <v>0.9089999999999989</v>
      </c>
      <c r="G22" s="119">
        <f t="shared" si="0"/>
        <v>0.5366129999999993</v>
      </c>
      <c r="H22" s="119">
        <f t="shared" si="1"/>
        <v>0.6132719999999993</v>
      </c>
      <c r="I22" s="119">
        <f t="shared" si="1"/>
        <v>0.6899309999999992</v>
      </c>
      <c r="J22" s="119">
        <f t="shared" si="1"/>
        <v>0.766589999999999</v>
      </c>
      <c r="K22" s="119">
        <f t="shared" si="1"/>
        <v>0.8432489999999989</v>
      </c>
      <c r="L22" s="119">
        <f t="shared" si="1"/>
        <v>0.9199079999999988</v>
      </c>
      <c r="M22" s="126">
        <f t="shared" si="1"/>
        <v>0.9965669999999988</v>
      </c>
    </row>
    <row r="23" spans="1:13" ht="13.5">
      <c r="A23" s="16"/>
      <c r="B23" s="17"/>
      <c r="C23" s="18"/>
      <c r="D23" s="18"/>
      <c r="E23" s="195">
        <f>E19+4*C12</f>
        <v>110</v>
      </c>
      <c r="F23" s="128">
        <f t="shared" si="2"/>
        <v>0.6489999999999938</v>
      </c>
      <c r="G23" s="119">
        <f t="shared" si="0"/>
        <v>0.3831263333333296</v>
      </c>
      <c r="H23" s="119">
        <f t="shared" si="1"/>
        <v>0.43785866666666245</v>
      </c>
      <c r="I23" s="119">
        <f t="shared" si="1"/>
        <v>0.4925909999999953</v>
      </c>
      <c r="J23" s="119">
        <f t="shared" si="1"/>
        <v>0.547323333333328</v>
      </c>
      <c r="K23" s="119">
        <f t="shared" si="1"/>
        <v>0.6020556666666609</v>
      </c>
      <c r="L23" s="119">
        <f t="shared" si="1"/>
        <v>0.6567879999999937</v>
      </c>
      <c r="M23" s="126">
        <f t="shared" si="1"/>
        <v>0.7115203333333265</v>
      </c>
    </row>
    <row r="24" spans="1:13" ht="13.5" customHeight="1">
      <c r="A24" s="16"/>
      <c r="B24" s="17"/>
      <c r="C24" s="18"/>
      <c r="D24" s="18"/>
      <c r="E24" s="78" t="s">
        <v>90</v>
      </c>
      <c r="F24" s="122"/>
      <c r="G24" s="122"/>
      <c r="H24" s="122"/>
      <c r="I24" s="12"/>
      <c r="J24" s="80"/>
      <c r="K24" s="200">
        <f>C12</f>
        <v>10</v>
      </c>
      <c r="L24" s="77" t="s">
        <v>30</v>
      </c>
      <c r="M24" s="123"/>
    </row>
    <row r="25" spans="1:13" ht="9.75" customHeight="1">
      <c r="A25" s="16"/>
      <c r="B25" s="17"/>
      <c r="C25" s="18"/>
      <c r="D25" s="18"/>
      <c r="E25" s="78" t="s">
        <v>114</v>
      </c>
      <c r="F25" s="122"/>
      <c r="G25" s="122"/>
      <c r="H25" s="122"/>
      <c r="I25" s="12"/>
      <c r="J25" s="80"/>
      <c r="K25" s="80"/>
      <c r="L25" s="80"/>
      <c r="M25" s="123"/>
    </row>
    <row r="26" spans="1:13" ht="9.75" customHeight="1">
      <c r="A26" s="16"/>
      <c r="B26" s="17"/>
      <c r="C26" s="18"/>
      <c r="D26" s="18"/>
      <c r="E26" s="79" t="s">
        <v>102</v>
      </c>
      <c r="F26" s="12"/>
      <c r="G26" s="122"/>
      <c r="H26" s="122"/>
      <c r="I26" s="122"/>
      <c r="J26" s="122"/>
      <c r="K26" s="122"/>
      <c r="L26" s="122"/>
      <c r="M26" s="123"/>
    </row>
    <row r="27" spans="1:13" ht="9.75" customHeight="1" thickBot="1">
      <c r="A27" s="16"/>
      <c r="B27" s="17"/>
      <c r="C27" s="18"/>
      <c r="D27" s="18"/>
      <c r="E27" s="125"/>
      <c r="F27" s="124"/>
      <c r="G27" s="124"/>
      <c r="H27" s="124"/>
      <c r="I27" s="154"/>
      <c r="J27" s="120"/>
      <c r="K27" s="120"/>
      <c r="L27" s="120"/>
      <c r="M27" s="121"/>
    </row>
    <row r="28" spans="2:13" ht="11.25" customHeight="1" thickBot="1">
      <c r="B28" s="224"/>
      <c r="C28" s="225"/>
      <c r="D28" s="225"/>
      <c r="E28" s="225"/>
      <c r="F28" s="225"/>
      <c r="G28" s="225"/>
      <c r="H28" s="225"/>
      <c r="I28" s="225"/>
      <c r="J28" s="55"/>
      <c r="K28" s="55"/>
      <c r="L28" s="55"/>
      <c r="M28" s="56"/>
    </row>
  </sheetData>
  <sheetProtection/>
  <mergeCells count="8">
    <mergeCell ref="H8:L8"/>
    <mergeCell ref="G12:M12"/>
    <mergeCell ref="G13:M13"/>
    <mergeCell ref="B28:I28"/>
    <mergeCell ref="B2:M2"/>
    <mergeCell ref="B3:M3"/>
    <mergeCell ref="B7:C7"/>
    <mergeCell ref="B5:E5"/>
  </mergeCells>
  <conditionalFormatting sqref="G16:M23 H15:M15">
    <cfRule type="cellIs" priority="1" dxfId="2" operator="between" stopIfTrue="1">
      <formula>1.45</formula>
      <formula>1.55</formula>
    </cfRule>
    <cfRule type="cellIs" priority="2" dxfId="0" operator="between" stopIfTrue="1">
      <formula>1.35</formula>
      <formula>1.45</formula>
    </cfRule>
    <cfRule type="cellIs" priority="3" dxfId="0" operator="between" stopIfTrue="1">
      <formula>1.55</formula>
      <formula>1.65</formula>
    </cfRule>
  </conditionalFormatting>
  <hyperlinks>
    <hyperlink ref="N2" location="'Wheat (Dry) Crop'!A1" display="Return to Wheat (dry) as variable"/>
    <hyperlink ref="N3" location="'Wheat (Dry) Fertilizer'!A1" display="Go to Fertilizer as variable"/>
    <hyperlink ref="N5" location="'Data Entry'!A1" display="Return to Data Entry"/>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N3" sqref="N3"/>
    </sheetView>
  </sheetViews>
  <sheetFormatPr defaultColWidth="9.140625" defaultRowHeight="12.75"/>
  <cols>
    <col min="1" max="1" width="1.57421875" style="10" customWidth="1"/>
    <col min="2" max="2" width="17.140625" style="10" customWidth="1"/>
    <col min="3" max="3" width="9.140625" style="10" customWidth="1"/>
    <col min="4" max="4" width="11.140625" style="10" customWidth="1"/>
    <col min="5" max="5" width="9.140625" style="10" customWidth="1"/>
    <col min="6" max="6" width="10.7109375" style="10" customWidth="1"/>
    <col min="7" max="13" width="9.140625" style="10" customWidth="1"/>
    <col min="14" max="14" width="27.42187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83</v>
      </c>
    </row>
    <row r="3" spans="1:14" ht="21">
      <c r="A3" s="11"/>
      <c r="B3" s="256" t="s">
        <v>49</v>
      </c>
      <c r="C3" s="257"/>
      <c r="D3" s="257"/>
      <c r="E3" s="257"/>
      <c r="F3" s="257"/>
      <c r="G3" s="257"/>
      <c r="H3" s="257"/>
      <c r="I3" s="257"/>
      <c r="J3" s="257"/>
      <c r="K3" s="257"/>
      <c r="L3" s="257"/>
      <c r="M3" s="258"/>
      <c r="N3" s="163" t="s">
        <v>76</v>
      </c>
    </row>
    <row r="4" spans="1:14" ht="6.75" customHeight="1">
      <c r="A4" s="11"/>
      <c r="B4" s="13"/>
      <c r="C4" s="14"/>
      <c r="D4" s="14"/>
      <c r="E4" s="14"/>
      <c r="F4" s="14"/>
      <c r="G4" s="14"/>
      <c r="H4" s="14"/>
      <c r="I4" s="14"/>
      <c r="J4" s="12"/>
      <c r="K4" s="12"/>
      <c r="L4" s="12"/>
      <c r="M4" s="15"/>
      <c r="N4" s="162"/>
    </row>
    <row r="5" spans="2:14" ht="12.75">
      <c r="B5" s="259"/>
      <c r="C5" s="260"/>
      <c r="D5" s="260"/>
      <c r="E5" s="261"/>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39</v>
      </c>
      <c r="C7" s="239"/>
      <c r="E7" s="18"/>
      <c r="F7" s="18"/>
      <c r="G7" s="18"/>
      <c r="H7" s="19"/>
      <c r="I7" s="18"/>
      <c r="J7" s="19"/>
      <c r="K7" s="12"/>
      <c r="L7" s="12"/>
      <c r="M7" s="15"/>
    </row>
    <row r="8" spans="1:13" ht="15" customHeight="1">
      <c r="A8" s="16"/>
      <c r="B8" s="87" t="s">
        <v>1</v>
      </c>
      <c r="C8" s="21" t="str">
        <f>'Data Entry'!C7</f>
        <v>UREA</v>
      </c>
      <c r="D8" s="18"/>
      <c r="E8" s="22"/>
      <c r="F8" s="23"/>
      <c r="G8" s="23"/>
      <c r="H8" s="262" t="s">
        <v>17</v>
      </c>
      <c r="I8" s="263"/>
      <c r="J8" s="263"/>
      <c r="K8" s="263"/>
      <c r="L8" s="263"/>
      <c r="M8" s="24"/>
    </row>
    <row r="9" spans="1:13" ht="13.5">
      <c r="A9" s="16"/>
      <c r="B9" s="20" t="s">
        <v>3</v>
      </c>
      <c r="C9" s="59">
        <f>'Data Entry'!C8</f>
        <v>600</v>
      </c>
      <c r="D9" s="18"/>
      <c r="E9" s="17"/>
      <c r="F9" s="18"/>
      <c r="G9" s="18"/>
      <c r="H9" s="19"/>
      <c r="I9" s="18"/>
      <c r="J9" s="19"/>
      <c r="K9" s="12"/>
      <c r="L9" s="12"/>
      <c r="M9" s="15"/>
    </row>
    <row r="10" spans="1:13" ht="13.5">
      <c r="A10" s="16"/>
      <c r="B10" s="20" t="s">
        <v>4</v>
      </c>
      <c r="C10" s="25">
        <f>'Data Entry'!C9</f>
        <v>46</v>
      </c>
      <c r="D10" s="18"/>
      <c r="E10" s="17"/>
      <c r="F10" s="18"/>
      <c r="G10" s="26">
        <f>J10-C14*3</f>
        <v>3.5</v>
      </c>
      <c r="H10" s="26">
        <f>J10-C14*2</f>
        <v>4</v>
      </c>
      <c r="I10" s="26">
        <f>J10-C14</f>
        <v>4.5</v>
      </c>
      <c r="J10" s="27">
        <f>'Data Entry'!F14</f>
        <v>5</v>
      </c>
      <c r="K10" s="26">
        <f>J10+C14</f>
        <v>5.5</v>
      </c>
      <c r="L10" s="26">
        <f>J10+C14*2</f>
        <v>6</v>
      </c>
      <c r="M10" s="28">
        <f>J10+C14*3</f>
        <v>6.5</v>
      </c>
    </row>
    <row r="11" spans="1:13" ht="13.5">
      <c r="A11" s="16"/>
      <c r="B11" s="20" t="s">
        <v>5</v>
      </c>
      <c r="C11" s="61">
        <f>(C9/((C10/100)*2200))</f>
        <v>0.5928853754940712</v>
      </c>
      <c r="D11" s="18"/>
      <c r="E11" s="17"/>
      <c r="F11" s="29"/>
      <c r="G11" s="18"/>
      <c r="H11" s="18"/>
      <c r="I11" s="18"/>
      <c r="J11" s="12"/>
      <c r="K11" s="12"/>
      <c r="L11" s="12"/>
      <c r="M11" s="15"/>
    </row>
    <row r="12" spans="1:13" ht="13.5">
      <c r="A12" s="16"/>
      <c r="B12" s="30" t="s">
        <v>20</v>
      </c>
      <c r="C12" s="31">
        <f>'Data Entry'!C11</f>
        <v>10</v>
      </c>
      <c r="D12" s="18"/>
      <c r="E12" s="32"/>
      <c r="F12" s="29"/>
      <c r="G12" s="264" t="s">
        <v>74</v>
      </c>
      <c r="H12" s="264"/>
      <c r="I12" s="264"/>
      <c r="J12" s="264"/>
      <c r="K12" s="264"/>
      <c r="L12" s="264"/>
      <c r="M12" s="265"/>
    </row>
    <row r="13" spans="1:13" ht="14.25" thickBot="1">
      <c r="A13" s="16"/>
      <c r="B13" s="33" t="s">
        <v>113</v>
      </c>
      <c r="C13" s="34"/>
      <c r="D13" s="18"/>
      <c r="E13" s="35" t="s">
        <v>9</v>
      </c>
      <c r="F13" s="36" t="s">
        <v>41</v>
      </c>
      <c r="G13" s="228" t="s">
        <v>42</v>
      </c>
      <c r="H13" s="228"/>
      <c r="I13" s="228"/>
      <c r="J13" s="228"/>
      <c r="K13" s="228"/>
      <c r="L13" s="228"/>
      <c r="M13" s="229"/>
    </row>
    <row r="14" spans="1:13" ht="13.5">
      <c r="A14" s="16"/>
      <c r="B14" s="37" t="s">
        <v>115</v>
      </c>
      <c r="C14" s="57">
        <f>'Data Entry'!C13</f>
        <v>0.5</v>
      </c>
      <c r="D14" s="18"/>
      <c r="E14" s="39" t="s">
        <v>11</v>
      </c>
      <c r="F14" s="40" t="s">
        <v>12</v>
      </c>
      <c r="G14" s="41"/>
      <c r="H14" s="41"/>
      <c r="I14" s="41"/>
      <c r="J14" s="41"/>
      <c r="K14" s="41"/>
      <c r="L14" s="41"/>
      <c r="M14" s="112"/>
    </row>
    <row r="15" spans="1:13" ht="13.5">
      <c r="A15" s="16"/>
      <c r="B15" s="43" t="s">
        <v>28</v>
      </c>
      <c r="C15" s="34"/>
      <c r="D15" s="18"/>
      <c r="E15" s="195">
        <f>IF((E19-4*$C$12)&lt;0,0,(E19-4*$C$12))</f>
        <v>0</v>
      </c>
      <c r="F15" s="128">
        <f>IF((((-0.0038*(E15+$C$16)^2+0.5464*(E15+$C$16))-(-0.0038*($C$16)^2+0.5464*($C$16)))-((-0.0038*((E15-$C$12)+$C$16)^2+0.5464*((E15-$C$12)+$C$16))-(-0.0038*($C$16)^2+0.5464*($C$16))))&lt;0,0,((-0.0038*(E15+$C$16)^2+0.5464*(E15+$C$16))-(-0.0038*($C$16)^2+0.5464*($C$16)))-((-0.0038*((E15-$C$12)+$C$16)^2+0.5464*((E15-$C$12)+$C$16))-(-0.0038*($C$16)^2+0.5464*($C$16))))</f>
        <v>3.5639999999999983</v>
      </c>
      <c r="G15" s="119">
        <f aca="true" t="shared" si="0" ref="G15:G23">($F15*G$10)/($C$12*$C$11)</f>
        <v>2.1039479999999986</v>
      </c>
      <c r="H15" s="119">
        <f aca="true" t="shared" si="1" ref="H15:M23">($F15*H$10)/($C$12*$C$11)</f>
        <v>2.4045119999999987</v>
      </c>
      <c r="I15" s="119">
        <f t="shared" si="1"/>
        <v>2.7050759999999987</v>
      </c>
      <c r="J15" s="119">
        <f t="shared" si="1"/>
        <v>3.0056399999999988</v>
      </c>
      <c r="K15" s="119">
        <f t="shared" si="1"/>
        <v>3.306203999999998</v>
      </c>
      <c r="L15" s="119">
        <f t="shared" si="1"/>
        <v>3.606767999999998</v>
      </c>
      <c r="M15" s="126">
        <f t="shared" si="1"/>
        <v>3.907331999999998</v>
      </c>
    </row>
    <row r="16" spans="1:13" ht="13.5">
      <c r="A16" s="16"/>
      <c r="B16" s="37" t="s">
        <v>29</v>
      </c>
      <c r="C16" s="45">
        <f>'Data Entry'!C15</f>
        <v>30</v>
      </c>
      <c r="D16" s="18"/>
      <c r="E16" s="195">
        <f>IF((E20-4*$C$12)&lt;0,0,(E20-4*$C$12))</f>
        <v>10</v>
      </c>
      <c r="F16" s="128">
        <f>IF((((-0.0038*(E16+$C$16)^2+0.5464*(E16+$C$16))-(-0.0038*($C$16)^2+0.5464*($C$16)))-((-0.0038*(E15+$C$16)^2+0.5464*(E15+$C$16))-(-0.0038*($C$16)^2+0.5464*($C$16))))&lt;0,0,((-0.0038*(E16+$C$16)^2+0.5464*(E16+$C$16))-(-0.0038*($C$16)^2+0.5464*($C$16)))-((-0.0038*(E15+$C$16)^2+0.5464*(E15+$C$16))-(-0.0038*($C$16)^2+0.5464*($C$16))))</f>
        <v>2.804000000000002</v>
      </c>
      <c r="G16" s="119">
        <f t="shared" si="0"/>
        <v>1.6552946666666677</v>
      </c>
      <c r="H16" s="119">
        <f t="shared" si="1"/>
        <v>1.8917653333333346</v>
      </c>
      <c r="I16" s="119">
        <f t="shared" si="1"/>
        <v>2.1282360000000016</v>
      </c>
      <c r="J16" s="119">
        <f t="shared" si="1"/>
        <v>2.364706666666668</v>
      </c>
      <c r="K16" s="119">
        <f t="shared" si="1"/>
        <v>2.601177333333335</v>
      </c>
      <c r="L16" s="119">
        <f t="shared" si="1"/>
        <v>2.837648000000002</v>
      </c>
      <c r="M16" s="126">
        <f t="shared" si="1"/>
        <v>3.074118666666669</v>
      </c>
    </row>
    <row r="17" spans="1:13" ht="13.5">
      <c r="A17" s="16"/>
      <c r="B17" s="43" t="s">
        <v>30</v>
      </c>
      <c r="C17" s="46"/>
      <c r="D17" s="18"/>
      <c r="E17" s="195">
        <f>IF((E21-4*$C$12)&lt;0,0,(E21-4*$C$12))</f>
        <v>20</v>
      </c>
      <c r="F17" s="128">
        <f aca="true" t="shared" si="2" ref="F17:F23">IF((((-0.0038*(E17+$C$16)^2+0.5464*(E17+$C$16))-(-0.0038*($C$16)^2+0.5464*($C$16)))-((-0.0038*(E16+$C$16)^2+0.5464*(E16+$C$16))-(-0.0038*($C$16)^2+0.5464*($C$16))))&lt;0,0,((-0.0038*(E17+$C$16)^2+0.5464*(E17+$C$16))-(-0.0038*($C$16)^2+0.5464*($C$16)))-((-0.0038*(E16+$C$16)^2+0.5464*(E16+$C$16))-(-0.0038*($C$16)^2+0.5464*($C$16))))</f>
        <v>2.0439999999999987</v>
      </c>
      <c r="G17" s="119">
        <f t="shared" si="0"/>
        <v>1.2066413333333326</v>
      </c>
      <c r="H17" s="119">
        <f t="shared" si="1"/>
        <v>1.3790186666666657</v>
      </c>
      <c r="I17" s="119">
        <f t="shared" si="1"/>
        <v>1.5513959999999987</v>
      </c>
      <c r="J17" s="119">
        <f t="shared" si="1"/>
        <v>1.723773333333332</v>
      </c>
      <c r="K17" s="119">
        <f t="shared" si="1"/>
        <v>1.8961506666666654</v>
      </c>
      <c r="L17" s="119">
        <f t="shared" si="1"/>
        <v>2.0685279999999984</v>
      </c>
      <c r="M17" s="126">
        <f t="shared" si="1"/>
        <v>2.2409053333333318</v>
      </c>
    </row>
    <row r="18" spans="1:13" ht="14.25" thickBot="1">
      <c r="A18" s="16"/>
      <c r="B18" s="17"/>
      <c r="C18" s="18"/>
      <c r="D18" s="18"/>
      <c r="E18" s="198">
        <f>IF((E22-4*$C$12)&lt;0,0,(E22-4*$C$12))</f>
        <v>30</v>
      </c>
      <c r="F18" s="128">
        <f t="shared" si="2"/>
        <v>1.283999999999999</v>
      </c>
      <c r="G18" s="119">
        <f t="shared" si="0"/>
        <v>0.7579879999999993</v>
      </c>
      <c r="H18" s="119">
        <f t="shared" si="1"/>
        <v>0.8662719999999993</v>
      </c>
      <c r="I18" s="119">
        <f t="shared" si="1"/>
        <v>0.9745559999999991</v>
      </c>
      <c r="J18" s="119">
        <f t="shared" si="1"/>
        <v>1.082839999999999</v>
      </c>
      <c r="K18" s="119">
        <f t="shared" si="1"/>
        <v>1.191123999999999</v>
      </c>
      <c r="L18" s="119">
        <f t="shared" si="1"/>
        <v>1.2994079999999988</v>
      </c>
      <c r="M18" s="126">
        <f t="shared" si="1"/>
        <v>1.4076919999999986</v>
      </c>
    </row>
    <row r="19" spans="1:13" ht="14.25" thickBot="1">
      <c r="A19" s="16"/>
      <c r="B19" s="47"/>
      <c r="C19" s="48"/>
      <c r="D19" s="49" t="s">
        <v>13</v>
      </c>
      <c r="E19" s="50">
        <f>'Data Entry'!H9</f>
        <v>40</v>
      </c>
      <c r="F19" s="197">
        <f t="shared" si="2"/>
        <v>0.5239999999999974</v>
      </c>
      <c r="G19" s="119">
        <f t="shared" si="0"/>
        <v>0.3093346666666651</v>
      </c>
      <c r="H19" s="119">
        <f t="shared" si="1"/>
        <v>0.3535253333333315</v>
      </c>
      <c r="I19" s="119">
        <f t="shared" si="1"/>
        <v>0.39771599999999796</v>
      </c>
      <c r="J19" s="119">
        <f t="shared" si="1"/>
        <v>0.4419066666666644</v>
      </c>
      <c r="K19" s="119">
        <f t="shared" si="1"/>
        <v>0.4860973333333308</v>
      </c>
      <c r="L19" s="119">
        <f t="shared" si="1"/>
        <v>0.5302879999999973</v>
      </c>
      <c r="M19" s="126">
        <f t="shared" si="1"/>
        <v>0.5744786666666637</v>
      </c>
    </row>
    <row r="20" spans="1:13" ht="13.5">
      <c r="A20" s="16"/>
      <c r="B20" s="17"/>
      <c r="C20" s="18"/>
      <c r="D20" s="18"/>
      <c r="E20" s="199">
        <f>E19+C12</f>
        <v>50</v>
      </c>
      <c r="F20" s="128">
        <f t="shared" si="2"/>
        <v>0</v>
      </c>
      <c r="G20" s="119">
        <f t="shared" si="0"/>
        <v>0</v>
      </c>
      <c r="H20" s="119">
        <f t="shared" si="1"/>
        <v>0</v>
      </c>
      <c r="I20" s="119">
        <f t="shared" si="1"/>
        <v>0</v>
      </c>
      <c r="J20" s="119">
        <f t="shared" si="1"/>
        <v>0</v>
      </c>
      <c r="K20" s="119">
        <f t="shared" si="1"/>
        <v>0</v>
      </c>
      <c r="L20" s="119">
        <f t="shared" si="1"/>
        <v>0</v>
      </c>
      <c r="M20" s="126">
        <f t="shared" si="1"/>
        <v>0</v>
      </c>
    </row>
    <row r="21" spans="1:13" ht="13.5">
      <c r="A21" s="16"/>
      <c r="B21" s="17"/>
      <c r="C21" s="52"/>
      <c r="D21" s="18"/>
      <c r="E21" s="195">
        <f>E19+2*C12</f>
        <v>60</v>
      </c>
      <c r="F21" s="128">
        <f t="shared" si="2"/>
        <v>0</v>
      </c>
      <c r="G21" s="119">
        <f t="shared" si="0"/>
        <v>0</v>
      </c>
      <c r="H21" s="119">
        <f t="shared" si="1"/>
        <v>0</v>
      </c>
      <c r="I21" s="119">
        <f t="shared" si="1"/>
        <v>0</v>
      </c>
      <c r="J21" s="119">
        <f t="shared" si="1"/>
        <v>0</v>
      </c>
      <c r="K21" s="119">
        <f t="shared" si="1"/>
        <v>0</v>
      </c>
      <c r="L21" s="119">
        <f t="shared" si="1"/>
        <v>0</v>
      </c>
      <c r="M21" s="126">
        <f t="shared" si="1"/>
        <v>0</v>
      </c>
    </row>
    <row r="22" spans="1:13" ht="13.5">
      <c r="A22" s="16"/>
      <c r="B22" s="17"/>
      <c r="C22" s="18"/>
      <c r="D22" s="18"/>
      <c r="E22" s="195">
        <f>E19+3*C12</f>
        <v>70</v>
      </c>
      <c r="F22" s="128">
        <f t="shared" si="2"/>
        <v>0</v>
      </c>
      <c r="G22" s="119">
        <f t="shared" si="0"/>
        <v>0</v>
      </c>
      <c r="H22" s="119">
        <f t="shared" si="1"/>
        <v>0</v>
      </c>
      <c r="I22" s="119">
        <f t="shared" si="1"/>
        <v>0</v>
      </c>
      <c r="J22" s="119">
        <f t="shared" si="1"/>
        <v>0</v>
      </c>
      <c r="K22" s="119">
        <f t="shared" si="1"/>
        <v>0</v>
      </c>
      <c r="L22" s="119">
        <f t="shared" si="1"/>
        <v>0</v>
      </c>
      <c r="M22" s="126">
        <f t="shared" si="1"/>
        <v>0</v>
      </c>
    </row>
    <row r="23" spans="1:13" ht="13.5">
      <c r="A23" s="16"/>
      <c r="B23" s="17"/>
      <c r="C23" s="18"/>
      <c r="D23" s="18"/>
      <c r="E23" s="195">
        <f>E19+4*C12</f>
        <v>80</v>
      </c>
      <c r="F23" s="128">
        <f t="shared" si="2"/>
        <v>0</v>
      </c>
      <c r="G23" s="119">
        <f t="shared" si="0"/>
        <v>0</v>
      </c>
      <c r="H23" s="119">
        <f t="shared" si="1"/>
        <v>0</v>
      </c>
      <c r="I23" s="119">
        <f t="shared" si="1"/>
        <v>0</v>
      </c>
      <c r="J23" s="119">
        <f t="shared" si="1"/>
        <v>0</v>
      </c>
      <c r="K23" s="119">
        <f t="shared" si="1"/>
        <v>0</v>
      </c>
      <c r="L23" s="119">
        <f t="shared" si="1"/>
        <v>0</v>
      </c>
      <c r="M23" s="126">
        <f t="shared" si="1"/>
        <v>0</v>
      </c>
    </row>
    <row r="24" spans="1:13" ht="13.5" customHeight="1">
      <c r="A24" s="16"/>
      <c r="B24" s="17"/>
      <c r="C24" s="18"/>
      <c r="D24" s="18"/>
      <c r="E24" s="78" t="s">
        <v>90</v>
      </c>
      <c r="F24" s="122"/>
      <c r="G24" s="122"/>
      <c r="H24" s="122"/>
      <c r="I24" s="12"/>
      <c r="J24" s="80"/>
      <c r="K24" s="200">
        <f>C12</f>
        <v>10</v>
      </c>
      <c r="L24" s="77" t="s">
        <v>30</v>
      </c>
      <c r="M24" s="123"/>
    </row>
    <row r="25" spans="1:13" ht="9.75" customHeight="1">
      <c r="A25" s="16"/>
      <c r="B25" s="17"/>
      <c r="C25" s="18"/>
      <c r="D25" s="18"/>
      <c r="E25" s="78" t="s">
        <v>114</v>
      </c>
      <c r="F25" s="122"/>
      <c r="G25" s="122"/>
      <c r="H25" s="122"/>
      <c r="I25" s="12"/>
      <c r="J25" s="80"/>
      <c r="K25" s="80"/>
      <c r="L25" s="80"/>
      <c r="M25" s="123"/>
    </row>
    <row r="26" spans="1:13" ht="9.75" customHeight="1">
      <c r="A26" s="16"/>
      <c r="B26" s="17"/>
      <c r="C26" s="18"/>
      <c r="D26" s="18"/>
      <c r="E26" s="79" t="s">
        <v>102</v>
      </c>
      <c r="F26" s="12"/>
      <c r="G26" s="122"/>
      <c r="H26" s="122"/>
      <c r="I26" s="122"/>
      <c r="J26" s="122"/>
      <c r="K26" s="122"/>
      <c r="L26" s="122"/>
      <c r="M26" s="123"/>
    </row>
    <row r="27" spans="1:13" ht="9.75" customHeight="1" thickBot="1">
      <c r="A27" s="16"/>
      <c r="B27" s="17"/>
      <c r="C27" s="18"/>
      <c r="D27" s="18"/>
      <c r="E27" s="125"/>
      <c r="F27" s="124"/>
      <c r="G27" s="124"/>
      <c r="H27" s="124"/>
      <c r="I27" s="154"/>
      <c r="J27" s="120"/>
      <c r="K27" s="120"/>
      <c r="L27" s="120"/>
      <c r="M27" s="121"/>
    </row>
    <row r="28" spans="2:13" ht="11.25" customHeight="1" thickBot="1">
      <c r="B28" s="224"/>
      <c r="C28" s="225"/>
      <c r="D28" s="225"/>
      <c r="E28" s="225"/>
      <c r="F28" s="225"/>
      <c r="G28" s="225"/>
      <c r="H28" s="225"/>
      <c r="I28" s="225"/>
      <c r="J28" s="55"/>
      <c r="K28" s="55"/>
      <c r="L28" s="55"/>
      <c r="M28" s="56"/>
    </row>
  </sheetData>
  <sheetProtection/>
  <mergeCells count="8">
    <mergeCell ref="B28:I28"/>
    <mergeCell ref="B2:M2"/>
    <mergeCell ref="B3:M3"/>
    <mergeCell ref="B7:C7"/>
    <mergeCell ref="B5:E5"/>
    <mergeCell ref="H8:L8"/>
    <mergeCell ref="G12:M12"/>
    <mergeCell ref="G13:M13"/>
  </mergeCells>
  <conditionalFormatting sqref="G16:M23 H15:M15">
    <cfRule type="cellIs" priority="1" dxfId="2" operator="between" stopIfTrue="1">
      <formula>1.45</formula>
      <formula>1.55</formula>
    </cfRule>
    <cfRule type="cellIs" priority="2" dxfId="0" operator="between" stopIfTrue="1">
      <formula>1.35</formula>
      <formula>1.45</formula>
    </cfRule>
    <cfRule type="cellIs" priority="3" dxfId="0" operator="between" stopIfTrue="1">
      <formula>1.55</formula>
      <formula>1.65</formula>
    </cfRule>
  </conditionalFormatting>
  <hyperlinks>
    <hyperlink ref="N2" location="'Wheat (Arid) Crop'!A1" display="Return to Wheat (Arid) as variable"/>
    <hyperlink ref="N3" location="'Wheat (Arid) Fertilizer'!A1" display="Go to Fertilizer as variable"/>
    <hyperlink ref="N5" location="'Data Entry'!A1" display="Return to Data Entry"/>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N3" sqref="N3"/>
    </sheetView>
  </sheetViews>
  <sheetFormatPr defaultColWidth="9.140625" defaultRowHeight="12.75"/>
  <cols>
    <col min="1" max="1" width="1.57421875" style="10" customWidth="1"/>
    <col min="2" max="2" width="17.28125" style="10" customWidth="1"/>
    <col min="3" max="3" width="9.28125" style="10" bestFit="1" customWidth="1"/>
    <col min="4" max="4" width="9.140625" style="10" customWidth="1"/>
    <col min="5" max="5" width="9.28125" style="10" bestFit="1" customWidth="1"/>
    <col min="6" max="6" width="11.140625" style="10" customWidth="1"/>
    <col min="7" max="10" width="9.28125" style="10" bestFit="1" customWidth="1"/>
    <col min="11" max="12" width="9.421875" style="10" bestFit="1" customWidth="1"/>
    <col min="13" max="13" width="9.140625" style="10" customWidth="1"/>
    <col min="14" max="14" width="27.5742187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85</v>
      </c>
    </row>
    <row r="3" spans="1:14" ht="19.5" customHeight="1">
      <c r="A3" s="11"/>
      <c r="B3" s="256" t="s">
        <v>47</v>
      </c>
      <c r="C3" s="257"/>
      <c r="D3" s="257"/>
      <c r="E3" s="257"/>
      <c r="F3" s="257"/>
      <c r="G3" s="257"/>
      <c r="H3" s="257"/>
      <c r="I3" s="257"/>
      <c r="J3" s="257"/>
      <c r="K3" s="257"/>
      <c r="L3" s="257"/>
      <c r="M3" s="258"/>
      <c r="N3" s="163" t="s">
        <v>76</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39</v>
      </c>
      <c r="C7" s="239"/>
      <c r="D7" s="18"/>
      <c r="E7" s="18"/>
      <c r="F7" s="18"/>
      <c r="G7" s="18"/>
      <c r="H7" s="19"/>
      <c r="I7" s="18"/>
      <c r="J7" s="19"/>
      <c r="K7" s="12"/>
      <c r="L7" s="12"/>
      <c r="M7" s="15"/>
    </row>
    <row r="8" spans="1:13" ht="15" customHeight="1">
      <c r="A8" s="16"/>
      <c r="B8" s="87" t="s">
        <v>1</v>
      </c>
      <c r="C8" s="21" t="str">
        <f>'Data Entry'!C7</f>
        <v>UREA</v>
      </c>
      <c r="D8" s="18"/>
      <c r="E8" s="22"/>
      <c r="F8" s="23"/>
      <c r="G8" s="23"/>
      <c r="H8" s="262" t="s">
        <v>22</v>
      </c>
      <c r="I8" s="263"/>
      <c r="J8" s="263"/>
      <c r="K8" s="263"/>
      <c r="L8" s="263"/>
      <c r="M8" s="24"/>
    </row>
    <row r="9" spans="1:13" ht="13.5">
      <c r="A9" s="16"/>
      <c r="B9" s="20" t="s">
        <v>3</v>
      </c>
      <c r="C9" s="59">
        <f>'Data Entry'!C8</f>
        <v>600</v>
      </c>
      <c r="D9" s="18"/>
      <c r="E9" s="17"/>
      <c r="F9" s="18"/>
      <c r="G9" s="18"/>
      <c r="H9" s="19"/>
      <c r="I9" s="18"/>
      <c r="J9" s="19"/>
      <c r="K9" s="12"/>
      <c r="L9" s="12"/>
      <c r="M9" s="15"/>
    </row>
    <row r="10" spans="1:13" ht="13.5">
      <c r="A10" s="16"/>
      <c r="B10" s="20" t="s">
        <v>4</v>
      </c>
      <c r="C10" s="25">
        <f>'Data Entry'!C9</f>
        <v>46</v>
      </c>
      <c r="D10" s="18"/>
      <c r="E10" s="17"/>
      <c r="F10" s="18"/>
      <c r="G10" s="26">
        <f>J10-C14*3</f>
        <v>1</v>
      </c>
      <c r="H10" s="26">
        <f>J10-C14*2</f>
        <v>1.5</v>
      </c>
      <c r="I10" s="26">
        <f>J10-C14</f>
        <v>2</v>
      </c>
      <c r="J10" s="27">
        <f>'Data Entry'!F15</f>
        <v>2.5</v>
      </c>
      <c r="K10" s="26">
        <f>J10+C14</f>
        <v>3</v>
      </c>
      <c r="L10" s="26">
        <f>J10+C14*2</f>
        <v>3.5</v>
      </c>
      <c r="M10" s="28">
        <f>J10+C14*3</f>
        <v>4</v>
      </c>
    </row>
    <row r="11" spans="1:13" ht="13.5">
      <c r="A11" s="16"/>
      <c r="B11" s="20" t="s">
        <v>5</v>
      </c>
      <c r="C11" s="61">
        <f>(C9/((C10/100)*2200))</f>
        <v>0.5928853754940712</v>
      </c>
      <c r="D11" s="18"/>
      <c r="E11" s="17"/>
      <c r="G11" s="18"/>
      <c r="H11" s="18"/>
      <c r="I11" s="18"/>
      <c r="J11" s="12"/>
      <c r="K11" s="12"/>
      <c r="L11" s="12"/>
      <c r="M11" s="15"/>
    </row>
    <row r="12" spans="1:13" ht="13.5">
      <c r="A12" s="16"/>
      <c r="B12" s="30" t="s">
        <v>20</v>
      </c>
      <c r="C12" s="31">
        <f>'Data Entry'!C11</f>
        <v>10</v>
      </c>
      <c r="D12" s="18"/>
      <c r="E12" s="32"/>
      <c r="F12" s="29"/>
      <c r="G12" s="264" t="s">
        <v>74</v>
      </c>
      <c r="H12" s="264"/>
      <c r="I12" s="264"/>
      <c r="J12" s="264"/>
      <c r="K12" s="264"/>
      <c r="L12" s="264"/>
      <c r="M12" s="265"/>
    </row>
    <row r="13" spans="1:13" ht="14.25" thickBot="1">
      <c r="A13" s="16"/>
      <c r="B13" s="33" t="s">
        <v>113</v>
      </c>
      <c r="C13" s="34"/>
      <c r="D13" s="18"/>
      <c r="E13" s="35" t="s">
        <v>9</v>
      </c>
      <c r="F13" s="29" t="s">
        <v>41</v>
      </c>
      <c r="G13" s="228" t="s">
        <v>42</v>
      </c>
      <c r="H13" s="228"/>
      <c r="I13" s="228"/>
      <c r="J13" s="228"/>
      <c r="K13" s="228"/>
      <c r="L13" s="228"/>
      <c r="M13" s="229"/>
    </row>
    <row r="14" spans="1:13" ht="13.5">
      <c r="A14" s="16"/>
      <c r="B14" s="37" t="s">
        <v>115</v>
      </c>
      <c r="C14" s="38">
        <f>'Data Entry'!C13</f>
        <v>0.5</v>
      </c>
      <c r="D14" s="18"/>
      <c r="E14" s="39" t="s">
        <v>11</v>
      </c>
      <c r="F14" s="127" t="s">
        <v>12</v>
      </c>
      <c r="G14" s="41"/>
      <c r="H14" s="41"/>
      <c r="I14" s="41"/>
      <c r="J14" s="41"/>
      <c r="K14" s="41"/>
      <c r="L14" s="41"/>
      <c r="M14" s="112"/>
    </row>
    <row r="15" spans="1:13" ht="13.5">
      <c r="A15" s="16"/>
      <c r="B15" s="43" t="s">
        <v>28</v>
      </c>
      <c r="C15" s="34"/>
      <c r="D15" s="18"/>
      <c r="E15" s="44">
        <f>IF((E19-4*$C$12)&lt;0,0,(E19-4*$C$12))</f>
        <v>50</v>
      </c>
      <c r="F15" s="128">
        <f>IF((((-0.0037*(E15+$C$16)^2+1.152*(E15+$C$16))-(-0.0037*($C$16)^2+1.152*($C$16)))-((-0.0037*((E15-$C$12)+$C$16)^2+1.152*((E15-$C$12)+$C$16))-(-0.0037*($C$16)^2+1.152*($C$16))))&lt;0,0,(((-0.0037*(E15+$C$16)^2+1.152*(E15+$C$16))-(-0.0037*($C$16)^2+1.152*($C$16)))-((-0.0037*((E15-$C$12)+$C$16)^2+1.152*((E15-$C$12)+$C$16))-(-0.0037*($C$16)^2+1.152*($C$16)))))</f>
        <v>5.969999999999992</v>
      </c>
      <c r="G15" s="119">
        <f aca="true" t="shared" si="0" ref="G15:G23">($F15*G$10)/($C$12*$C$11)</f>
        <v>1.0069399999999986</v>
      </c>
      <c r="H15" s="119">
        <f aca="true" t="shared" si="1" ref="H15:M23">($F15*H$10)/($C$12*$C$11)</f>
        <v>1.5104099999999978</v>
      </c>
      <c r="I15" s="119">
        <f t="shared" si="1"/>
        <v>2.0138799999999972</v>
      </c>
      <c r="J15" s="119">
        <f t="shared" si="1"/>
        <v>2.5173499999999964</v>
      </c>
      <c r="K15" s="119">
        <f t="shared" si="1"/>
        <v>3.0208199999999956</v>
      </c>
      <c r="L15" s="119">
        <f t="shared" si="1"/>
        <v>3.524289999999995</v>
      </c>
      <c r="M15" s="126">
        <f t="shared" si="1"/>
        <v>4.0277599999999945</v>
      </c>
    </row>
    <row r="16" spans="1:13" ht="13.5">
      <c r="A16" s="16"/>
      <c r="B16" s="37" t="s">
        <v>29</v>
      </c>
      <c r="C16" s="45">
        <f>'Data Entry'!C15</f>
        <v>30</v>
      </c>
      <c r="D16" s="18"/>
      <c r="E16" s="44">
        <f>IF((E20-4*$C$12)&lt;0,0,(E20-4*$C$12))</f>
        <v>60</v>
      </c>
      <c r="F16" s="128">
        <f>IF((((-0.0037*(E16+$C$16)^2+1.152*(E16+$C$16))-(-0.0037*($C$16)^2+1.152*($C$16)))-((-0.0037*(E16+$C$16)^2+1.152*(E16+$C$16))-(-0.0037*($C$16)^2+1.152*($C$16))))&lt;0,0,(((-0.0037*(E16+$C$16)^2+1.152*(E16+$C$16))-(-0.0037*($C$16)^2+1.152*($C$16)))-((-0.0037*(E15+$C$16)^2+1.152*(E15+$C$16))-(-0.0037*($C$16)^2+1.152*($C$16)))))</f>
        <v>5.230000000000004</v>
      </c>
      <c r="G16" s="119">
        <f t="shared" si="0"/>
        <v>0.8821266666666673</v>
      </c>
      <c r="H16" s="119">
        <f t="shared" si="1"/>
        <v>1.323190000000001</v>
      </c>
      <c r="I16" s="119">
        <f t="shared" si="1"/>
        <v>1.7642533333333346</v>
      </c>
      <c r="J16" s="119">
        <f t="shared" si="1"/>
        <v>2.2053166666666684</v>
      </c>
      <c r="K16" s="119">
        <f t="shared" si="1"/>
        <v>2.646380000000002</v>
      </c>
      <c r="L16" s="119">
        <f t="shared" si="1"/>
        <v>3.0874433333333355</v>
      </c>
      <c r="M16" s="126">
        <f t="shared" si="1"/>
        <v>3.528506666666669</v>
      </c>
    </row>
    <row r="17" spans="1:13" ht="13.5">
      <c r="A17" s="16"/>
      <c r="B17" s="43" t="s">
        <v>30</v>
      </c>
      <c r="C17" s="46"/>
      <c r="D17" s="18"/>
      <c r="E17" s="44">
        <f>IF((E21-4*$C$12)&lt;0,0,(E21-4*$C$12))</f>
        <v>70</v>
      </c>
      <c r="F17" s="128">
        <f aca="true" t="shared" si="2" ref="F17:F23">IF((((-0.0037*(E17+$C$16)^2+1.152*(E17+$C$16))-(-0.0037*($C$16)^2+1.152*($C$16)))-((-0.0037*(E17+$C$16)^2+1.152*(E17+$C$16))-(-0.0037*($C$16)^2+1.152*($C$16))))&lt;0,0,(((-0.0037*(E17+$C$16)^2+1.152*(E17+$C$16))-(-0.0037*($C$16)^2+1.152*($C$16)))-((-0.0037*(E16+$C$16)^2+1.152*(E16+$C$16))-(-0.0037*($C$16)^2+1.152*($C$16)))))</f>
        <v>4.489999999999995</v>
      </c>
      <c r="G17" s="119">
        <f t="shared" si="0"/>
        <v>0.7573133333333324</v>
      </c>
      <c r="H17" s="119">
        <f t="shared" si="1"/>
        <v>1.1359699999999986</v>
      </c>
      <c r="I17" s="119">
        <f t="shared" si="1"/>
        <v>1.5146266666666648</v>
      </c>
      <c r="J17" s="119">
        <f t="shared" si="1"/>
        <v>1.893283333333331</v>
      </c>
      <c r="K17" s="119">
        <f t="shared" si="1"/>
        <v>2.271939999999997</v>
      </c>
      <c r="L17" s="119">
        <f t="shared" si="1"/>
        <v>2.6505966666666634</v>
      </c>
      <c r="M17" s="126">
        <f t="shared" si="1"/>
        <v>3.0292533333333296</v>
      </c>
    </row>
    <row r="18" spans="1:13" ht="14.25" thickBot="1">
      <c r="A18" s="16"/>
      <c r="B18" s="17"/>
      <c r="C18" s="18"/>
      <c r="D18" s="18"/>
      <c r="E18" s="44">
        <f>IF((E22-4*$C$12)&lt;0,0,(E22-4*$C$12))</f>
        <v>80</v>
      </c>
      <c r="F18" s="128">
        <f t="shared" si="2"/>
        <v>3.75</v>
      </c>
      <c r="G18" s="119">
        <f t="shared" si="0"/>
        <v>0.6325</v>
      </c>
      <c r="H18" s="119">
        <f t="shared" si="1"/>
        <v>0.94875</v>
      </c>
      <c r="I18" s="119">
        <f t="shared" si="1"/>
        <v>1.265</v>
      </c>
      <c r="J18" s="119">
        <f t="shared" si="1"/>
        <v>1.5812499999999998</v>
      </c>
      <c r="K18" s="119">
        <f t="shared" si="1"/>
        <v>1.8975</v>
      </c>
      <c r="L18" s="119">
        <f t="shared" si="1"/>
        <v>2.2137499999999997</v>
      </c>
      <c r="M18" s="126">
        <f t="shared" si="1"/>
        <v>2.53</v>
      </c>
    </row>
    <row r="19" spans="1:13" ht="14.25" thickBot="1">
      <c r="A19" s="16"/>
      <c r="B19" s="54"/>
      <c r="C19" s="48"/>
      <c r="D19" s="49" t="s">
        <v>13</v>
      </c>
      <c r="E19" s="50">
        <f>'Data Entry'!F10</f>
        <v>90</v>
      </c>
      <c r="F19" s="197">
        <f t="shared" si="2"/>
        <v>3.009999999999991</v>
      </c>
      <c r="G19" s="119">
        <f t="shared" si="0"/>
        <v>0.5076866666666651</v>
      </c>
      <c r="H19" s="119">
        <f t="shared" si="1"/>
        <v>0.7615299999999976</v>
      </c>
      <c r="I19" s="119">
        <f t="shared" si="1"/>
        <v>1.0153733333333301</v>
      </c>
      <c r="J19" s="119">
        <f t="shared" si="1"/>
        <v>1.2692166666666627</v>
      </c>
      <c r="K19" s="119">
        <f t="shared" si="1"/>
        <v>1.5230599999999952</v>
      </c>
      <c r="L19" s="119">
        <f t="shared" si="1"/>
        <v>1.776903333333328</v>
      </c>
      <c r="M19" s="126">
        <f t="shared" si="1"/>
        <v>2.0307466666666603</v>
      </c>
    </row>
    <row r="20" spans="1:13" ht="13.5">
      <c r="A20" s="16"/>
      <c r="B20" s="17"/>
      <c r="C20" s="18"/>
      <c r="D20" s="18"/>
      <c r="E20" s="51">
        <f>E19+C12</f>
        <v>100</v>
      </c>
      <c r="F20" s="128">
        <f t="shared" si="2"/>
        <v>2.2700000000000102</v>
      </c>
      <c r="G20" s="119">
        <f t="shared" si="0"/>
        <v>0.382873333333335</v>
      </c>
      <c r="H20" s="119">
        <f t="shared" si="1"/>
        <v>0.5743100000000025</v>
      </c>
      <c r="I20" s="119">
        <f t="shared" si="1"/>
        <v>0.76574666666667</v>
      </c>
      <c r="J20" s="119">
        <f t="shared" si="1"/>
        <v>0.9571833333333376</v>
      </c>
      <c r="K20" s="119">
        <f t="shared" si="1"/>
        <v>1.148620000000005</v>
      </c>
      <c r="L20" s="119">
        <f t="shared" si="1"/>
        <v>1.3400566666666727</v>
      </c>
      <c r="M20" s="126">
        <f t="shared" si="1"/>
        <v>1.53149333333334</v>
      </c>
    </row>
    <row r="21" spans="1:13" ht="13.5">
      <c r="A21" s="16"/>
      <c r="B21" s="17"/>
      <c r="C21" s="18"/>
      <c r="D21" s="18"/>
      <c r="E21" s="51">
        <f>E19+2*C12</f>
        <v>110</v>
      </c>
      <c r="F21" s="128">
        <f t="shared" si="2"/>
        <v>1.5300000000000011</v>
      </c>
      <c r="G21" s="119">
        <f t="shared" si="0"/>
        <v>0.2580600000000002</v>
      </c>
      <c r="H21" s="119">
        <f t="shared" si="1"/>
        <v>0.38709000000000027</v>
      </c>
      <c r="I21" s="119">
        <f t="shared" si="1"/>
        <v>0.5161200000000004</v>
      </c>
      <c r="J21" s="119">
        <f t="shared" si="1"/>
        <v>0.6451500000000004</v>
      </c>
      <c r="K21" s="119">
        <f t="shared" si="1"/>
        <v>0.7741800000000005</v>
      </c>
      <c r="L21" s="119">
        <f t="shared" si="1"/>
        <v>0.9032100000000006</v>
      </c>
      <c r="M21" s="126">
        <f t="shared" si="1"/>
        <v>1.0322400000000007</v>
      </c>
    </row>
    <row r="22" spans="1:13" ht="13.5">
      <c r="A22" s="16"/>
      <c r="B22" s="17"/>
      <c r="C22" s="18"/>
      <c r="D22" s="18"/>
      <c r="E22" s="51">
        <f>E19+3*C12</f>
        <v>120</v>
      </c>
      <c r="F22" s="128">
        <f t="shared" si="2"/>
        <v>0.789999999999992</v>
      </c>
      <c r="G22" s="119">
        <f t="shared" si="0"/>
        <v>0.13324666666666532</v>
      </c>
      <c r="H22" s="119">
        <f t="shared" si="1"/>
        <v>0.19986999999999797</v>
      </c>
      <c r="I22" s="119">
        <f t="shared" si="1"/>
        <v>0.26649333333333064</v>
      </c>
      <c r="J22" s="119">
        <f t="shared" si="1"/>
        <v>0.3331166666666633</v>
      </c>
      <c r="K22" s="119">
        <f t="shared" si="1"/>
        <v>0.39973999999999593</v>
      </c>
      <c r="L22" s="119">
        <f t="shared" si="1"/>
        <v>0.4663633333333286</v>
      </c>
      <c r="M22" s="126">
        <f t="shared" si="1"/>
        <v>0.5329866666666613</v>
      </c>
    </row>
    <row r="23" spans="1:13" ht="13.5">
      <c r="A23" s="16"/>
      <c r="B23" s="17"/>
      <c r="C23" s="18"/>
      <c r="D23" s="18"/>
      <c r="E23" s="195">
        <f>E19+4*C12</f>
        <v>130</v>
      </c>
      <c r="F23" s="128">
        <f t="shared" si="2"/>
        <v>0.05000000000001137</v>
      </c>
      <c r="G23" s="119">
        <f t="shared" si="0"/>
        <v>0.00843333333333525</v>
      </c>
      <c r="H23" s="119">
        <f t="shared" si="1"/>
        <v>0.012650000000002876</v>
      </c>
      <c r="I23" s="119">
        <f t="shared" si="1"/>
        <v>0.0168666666666705</v>
      </c>
      <c r="J23" s="119">
        <f t="shared" si="1"/>
        <v>0.021083333333338127</v>
      </c>
      <c r="K23" s="119">
        <f t="shared" si="1"/>
        <v>0.025300000000005752</v>
      </c>
      <c r="L23" s="119">
        <f t="shared" si="1"/>
        <v>0.029516666666673377</v>
      </c>
      <c r="M23" s="126">
        <f t="shared" si="1"/>
        <v>0.033733333333341</v>
      </c>
    </row>
    <row r="24" spans="1:13" ht="13.5" customHeight="1">
      <c r="A24" s="16"/>
      <c r="B24" s="17"/>
      <c r="C24" s="18"/>
      <c r="D24" s="18"/>
      <c r="E24" s="78" t="s">
        <v>90</v>
      </c>
      <c r="F24" s="122"/>
      <c r="G24" s="122"/>
      <c r="H24" s="122"/>
      <c r="I24" s="12"/>
      <c r="J24" s="80"/>
      <c r="K24" s="200">
        <f>C12</f>
        <v>10</v>
      </c>
      <c r="L24" s="77" t="s">
        <v>30</v>
      </c>
      <c r="M24" s="123"/>
    </row>
    <row r="25" spans="1:13" ht="9.75" customHeight="1">
      <c r="A25" s="16"/>
      <c r="B25" s="17"/>
      <c r="C25" s="18"/>
      <c r="D25" s="18"/>
      <c r="E25" s="78" t="s">
        <v>114</v>
      </c>
      <c r="F25" s="122"/>
      <c r="G25" s="122"/>
      <c r="H25" s="122"/>
      <c r="I25" s="12"/>
      <c r="J25" s="80"/>
      <c r="K25" s="80"/>
      <c r="L25" s="80"/>
      <c r="M25" s="123"/>
    </row>
    <row r="26" spans="1:13" ht="9.75" customHeight="1">
      <c r="A26" s="16"/>
      <c r="B26" s="17"/>
      <c r="C26" s="18"/>
      <c r="D26" s="18"/>
      <c r="E26" s="79" t="s">
        <v>102</v>
      </c>
      <c r="F26" s="12"/>
      <c r="G26" s="122"/>
      <c r="H26" s="122"/>
      <c r="I26" s="122"/>
      <c r="J26" s="122"/>
      <c r="K26" s="122"/>
      <c r="L26" s="122"/>
      <c r="M26" s="123"/>
    </row>
    <row r="27" spans="1:13" ht="9.75" customHeight="1" thickBot="1">
      <c r="A27" s="16"/>
      <c r="B27" s="17"/>
      <c r="C27" s="18"/>
      <c r="D27" s="18"/>
      <c r="E27" s="125"/>
      <c r="F27" s="124"/>
      <c r="G27" s="124"/>
      <c r="H27" s="124"/>
      <c r="I27" s="154"/>
      <c r="J27" s="120"/>
      <c r="K27" s="120"/>
      <c r="L27" s="120"/>
      <c r="M27" s="121"/>
    </row>
    <row r="28" spans="2:13" ht="11.25" customHeight="1" thickBot="1">
      <c r="B28" s="224"/>
      <c r="C28" s="225"/>
      <c r="D28" s="225"/>
      <c r="E28" s="225"/>
      <c r="F28" s="225"/>
      <c r="G28" s="225"/>
      <c r="H28" s="225"/>
      <c r="I28" s="225"/>
      <c r="J28" s="55"/>
      <c r="K28" s="55"/>
      <c r="L28" s="55"/>
      <c r="M28" s="56"/>
    </row>
    <row r="34" ht="12.75">
      <c r="C34" s="140"/>
    </row>
  </sheetData>
  <sheetProtection/>
  <mergeCells count="8">
    <mergeCell ref="H8:L8"/>
    <mergeCell ref="G12:M12"/>
    <mergeCell ref="G13:M13"/>
    <mergeCell ref="B28:I28"/>
    <mergeCell ref="B2:M2"/>
    <mergeCell ref="B3:M3"/>
    <mergeCell ref="B5:D5"/>
    <mergeCell ref="B7:C7"/>
  </mergeCells>
  <conditionalFormatting sqref="G16:M23 H15:M15">
    <cfRule type="cellIs" priority="1" dxfId="2" operator="between" stopIfTrue="1">
      <formula>1.45</formula>
      <formula>1.55</formula>
    </cfRule>
    <cfRule type="cellIs" priority="2" dxfId="0" operator="between" stopIfTrue="1">
      <formula>1.35</formula>
      <formula>1.45</formula>
    </cfRule>
    <cfRule type="cellIs" priority="3" dxfId="0" operator="between" stopIfTrue="1">
      <formula>1.55</formula>
      <formula>1.65</formula>
    </cfRule>
  </conditionalFormatting>
  <hyperlinks>
    <hyperlink ref="N2" location="'Barley (Moist) Crop'!A1" display="Return to Barley (Moist ) as variable"/>
    <hyperlink ref="N3" location="'Barley (Moist) Fertilizer'!A1" display="Go to Fertilizer as variable"/>
    <hyperlink ref="N5" location="'Data Entry'!A1" display="Return to Data Entry"/>
  </hyperlink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N2" sqref="N2"/>
    </sheetView>
  </sheetViews>
  <sheetFormatPr defaultColWidth="9.140625" defaultRowHeight="12.75"/>
  <cols>
    <col min="1" max="1" width="1.57421875" style="10" customWidth="1"/>
    <col min="2" max="2" width="17.28125" style="10" customWidth="1"/>
    <col min="3" max="5" width="9.140625" style="10" customWidth="1"/>
    <col min="6" max="6" width="11.00390625" style="10" customWidth="1"/>
    <col min="7" max="13" width="9.140625" style="10" customWidth="1"/>
    <col min="14" max="14" width="24.851562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87</v>
      </c>
    </row>
    <row r="3" spans="1:14" ht="21">
      <c r="A3" s="11"/>
      <c r="B3" s="256" t="s">
        <v>48</v>
      </c>
      <c r="C3" s="257"/>
      <c r="D3" s="257"/>
      <c r="E3" s="257"/>
      <c r="F3" s="257"/>
      <c r="G3" s="257"/>
      <c r="H3" s="257"/>
      <c r="I3" s="257"/>
      <c r="J3" s="257"/>
      <c r="K3" s="257"/>
      <c r="L3" s="257"/>
      <c r="M3" s="258"/>
      <c r="N3" s="163" t="s">
        <v>76</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39</v>
      </c>
      <c r="C7" s="239"/>
      <c r="D7" s="18"/>
      <c r="E7" s="18"/>
      <c r="F7" s="18"/>
      <c r="G7" s="18"/>
      <c r="H7" s="19"/>
      <c r="I7" s="18"/>
      <c r="J7" s="19"/>
      <c r="K7" s="12"/>
      <c r="L7" s="12"/>
      <c r="M7" s="15"/>
    </row>
    <row r="8" spans="1:13" ht="15" customHeight="1">
      <c r="A8" s="16"/>
      <c r="B8" s="87" t="s">
        <v>1</v>
      </c>
      <c r="C8" s="21" t="str">
        <f>'Data Entry'!C7</f>
        <v>UREA</v>
      </c>
      <c r="D8" s="18"/>
      <c r="E8" s="22"/>
      <c r="F8" s="23"/>
      <c r="G8" s="23"/>
      <c r="H8" s="262" t="s">
        <v>22</v>
      </c>
      <c r="I8" s="263"/>
      <c r="J8" s="263"/>
      <c r="K8" s="263"/>
      <c r="L8" s="263"/>
      <c r="M8" s="24"/>
    </row>
    <row r="9" spans="1:13" ht="13.5">
      <c r="A9" s="16"/>
      <c r="B9" s="20" t="s">
        <v>3</v>
      </c>
      <c r="C9" s="59">
        <f>'Data Entry'!C8</f>
        <v>600</v>
      </c>
      <c r="D9" s="18"/>
      <c r="E9" s="17"/>
      <c r="F9" s="18"/>
      <c r="G9" s="18"/>
      <c r="H9" s="19"/>
      <c r="I9" s="18"/>
      <c r="J9" s="19"/>
      <c r="K9" s="12"/>
      <c r="L9" s="12"/>
      <c r="M9" s="15"/>
    </row>
    <row r="10" spans="1:13" ht="13.5">
      <c r="A10" s="16"/>
      <c r="B10" s="20" t="s">
        <v>4</v>
      </c>
      <c r="C10" s="25">
        <f>'Data Entry'!C9</f>
        <v>46</v>
      </c>
      <c r="D10" s="18"/>
      <c r="E10" s="17"/>
      <c r="F10" s="18"/>
      <c r="G10" s="26">
        <f>J10-C14*3</f>
        <v>1</v>
      </c>
      <c r="H10" s="26">
        <f>J10-C14*2</f>
        <v>1.5</v>
      </c>
      <c r="I10" s="26">
        <f>J10-C14</f>
        <v>2</v>
      </c>
      <c r="J10" s="27">
        <f>'Data Entry'!F15</f>
        <v>2.5</v>
      </c>
      <c r="K10" s="26">
        <f>J10+C14</f>
        <v>3</v>
      </c>
      <c r="L10" s="26">
        <f>J10+C14*2</f>
        <v>3.5</v>
      </c>
      <c r="M10" s="28">
        <f>J10+C14*3</f>
        <v>4</v>
      </c>
    </row>
    <row r="11" spans="1:13" ht="13.5">
      <c r="A11" s="16"/>
      <c r="B11" s="20" t="s">
        <v>5</v>
      </c>
      <c r="C11" s="61">
        <f>(C9/((C10/100)*2200))</f>
        <v>0.5928853754940712</v>
      </c>
      <c r="D11" s="18"/>
      <c r="E11" s="17"/>
      <c r="F11" s="29"/>
      <c r="G11" s="18"/>
      <c r="H11" s="18"/>
      <c r="I11" s="18"/>
      <c r="J11" s="12"/>
      <c r="K11" s="12"/>
      <c r="L11" s="12"/>
      <c r="M11" s="15"/>
    </row>
    <row r="12" spans="1:13" ht="13.5">
      <c r="A12" s="16"/>
      <c r="B12" s="30" t="s">
        <v>20</v>
      </c>
      <c r="C12" s="31">
        <f>'Data Entry'!C11</f>
        <v>10</v>
      </c>
      <c r="D12" s="18"/>
      <c r="E12" s="32"/>
      <c r="F12" s="29"/>
      <c r="G12" s="264" t="s">
        <v>74</v>
      </c>
      <c r="H12" s="264"/>
      <c r="I12" s="264"/>
      <c r="J12" s="264"/>
      <c r="K12" s="264"/>
      <c r="L12" s="264"/>
      <c r="M12" s="265"/>
    </row>
    <row r="13" spans="1:13" ht="14.25" thickBot="1">
      <c r="A13" s="16"/>
      <c r="B13" s="33" t="s">
        <v>113</v>
      </c>
      <c r="C13" s="34"/>
      <c r="D13" s="18"/>
      <c r="E13" s="35" t="s">
        <v>9</v>
      </c>
      <c r="F13" s="29" t="s">
        <v>41</v>
      </c>
      <c r="G13" s="228" t="s">
        <v>42</v>
      </c>
      <c r="H13" s="228"/>
      <c r="I13" s="228"/>
      <c r="J13" s="228"/>
      <c r="K13" s="228"/>
      <c r="L13" s="228"/>
      <c r="M13" s="229"/>
    </row>
    <row r="14" spans="1:13" ht="13.5">
      <c r="A14" s="16"/>
      <c r="B14" s="37" t="s">
        <v>115</v>
      </c>
      <c r="C14" s="38">
        <f>'Data Entry'!C13</f>
        <v>0.5</v>
      </c>
      <c r="D14" s="18"/>
      <c r="E14" s="39" t="s">
        <v>11</v>
      </c>
      <c r="F14" s="196" t="s">
        <v>12</v>
      </c>
      <c r="G14" s="41"/>
      <c r="H14" s="41"/>
      <c r="I14" s="41"/>
      <c r="J14" s="41"/>
      <c r="K14" s="41"/>
      <c r="L14" s="41"/>
      <c r="M14" s="112"/>
    </row>
    <row r="15" spans="1:13" ht="13.5">
      <c r="A15" s="16"/>
      <c r="B15" s="43" t="s">
        <v>28</v>
      </c>
      <c r="C15" s="34"/>
      <c r="D15" s="18"/>
      <c r="E15" s="44">
        <f>IF((E19-4*$C$12)&lt;0,0,(E19-4*$C$12))</f>
        <v>10</v>
      </c>
      <c r="F15" s="128">
        <f>IF((((-0.0082*(E15+$C$16)^2+1.5595*(E15+$C$16))-(-0.0082*($C$16)^2+1.5595*($C$16)))-((-0.0082*((E15-$C$12)+$C$16)^2+1.5595*((E15-$C$12)+$C$16))-(-0.0082*($C$16)^2+1.5595*($C$16))))&lt;0,0,((-0.0082*(E15+$C$16)^2+1.5595*(E15+$C$16))-(-0.0082*($C$16)^2+1.5595*($C$16)))-((-0.0082*((E15-$C$12)+$C$16)^2+1.5595*((E15-$C$12)+$C$16))-(-0.0082*($C$16)^2+1.5595*($C$16))))</f>
        <v>9.855000000000004</v>
      </c>
      <c r="G15" s="119">
        <f aca="true" t="shared" si="0" ref="G15:M23">($F15*G$10)/($C$12*$C$11)</f>
        <v>1.6622100000000006</v>
      </c>
      <c r="H15" s="119">
        <f t="shared" si="0"/>
        <v>2.493315000000001</v>
      </c>
      <c r="I15" s="119">
        <f t="shared" si="0"/>
        <v>3.3244200000000013</v>
      </c>
      <c r="J15" s="119">
        <f t="shared" si="0"/>
        <v>4.155525000000002</v>
      </c>
      <c r="K15" s="119">
        <f t="shared" si="0"/>
        <v>4.986630000000002</v>
      </c>
      <c r="L15" s="119">
        <f t="shared" si="0"/>
        <v>5.817735000000002</v>
      </c>
      <c r="M15" s="126">
        <f t="shared" si="0"/>
        <v>6.6488400000000025</v>
      </c>
    </row>
    <row r="16" spans="1:13" ht="13.5">
      <c r="A16" s="16"/>
      <c r="B16" s="37" t="s">
        <v>29</v>
      </c>
      <c r="C16" s="45">
        <f>'Data Entry'!C15</f>
        <v>30</v>
      </c>
      <c r="D16" s="18"/>
      <c r="E16" s="44">
        <f>IF((E20-4*$C$12)&lt;0,0,(E20-4*$C$12))</f>
        <v>20</v>
      </c>
      <c r="F16" s="128">
        <f>IF((((-0.0082*(E16+$C$16)^2+1.5595*(E16+$C$16))-(-0.0082*($C$16)^2+1.5595*($C$16)))-((-0.0082*(E15+$C$16)^2+1.5595*(E15+$C$16))-(-0.0082*($C$16)^2+1.5595*($C$16))))&lt;0,0,((-0.0082*(E16+$C$16)^2+1.5595*(E16+$C$16))-(-0.0082*($C$16)^2+1.5595*($C$16)))-((-0.0082*(E15+$C$16)^2+1.5595*(E15+$C$16))-(-0.0082*($C$16)^2+1.5595*($C$16))))</f>
        <v>8.215000000000003</v>
      </c>
      <c r="G16" s="119">
        <f t="shared" si="0"/>
        <v>1.3855966666666673</v>
      </c>
      <c r="H16" s="119">
        <f t="shared" si="0"/>
        <v>2.078395000000001</v>
      </c>
      <c r="I16" s="119">
        <f t="shared" si="0"/>
        <v>2.7711933333333345</v>
      </c>
      <c r="J16" s="119">
        <f t="shared" si="0"/>
        <v>3.4639916666666677</v>
      </c>
      <c r="K16" s="119">
        <f t="shared" si="0"/>
        <v>4.156790000000002</v>
      </c>
      <c r="L16" s="119">
        <f t="shared" si="0"/>
        <v>4.849588333333335</v>
      </c>
      <c r="M16" s="126">
        <f t="shared" si="0"/>
        <v>5.542386666666669</v>
      </c>
    </row>
    <row r="17" spans="1:13" ht="13.5">
      <c r="A17" s="16"/>
      <c r="B17" s="43" t="s">
        <v>30</v>
      </c>
      <c r="C17" s="46"/>
      <c r="D17" s="18"/>
      <c r="E17" s="44">
        <f>IF((E21-4*$C$12)&lt;0,0,(E21-4*$C$12))</f>
        <v>30</v>
      </c>
      <c r="F17" s="128">
        <f aca="true" t="shared" si="1" ref="F17:F23">IF((((-0.0082*(E17+$C$16)^2+1.5595*(E17+$C$16))-(-0.0082*($C$16)^2+1.5595*($C$16)))-((-0.0082*(E16+$C$16)^2+1.5595*(E16+$C$16))-(-0.0082*($C$16)^2+1.5595*($C$16))))&lt;0,0,((-0.0082*(E17+$C$16)^2+1.5595*(E17+$C$16))-(-0.0082*($C$16)^2+1.5595*($C$16)))-((-0.0082*(E16+$C$16)^2+1.5595*(E16+$C$16))-(-0.0082*($C$16)^2+1.5595*($C$16))))</f>
        <v>6.575000000000003</v>
      </c>
      <c r="G17" s="119">
        <f t="shared" si="0"/>
        <v>1.1089833333333337</v>
      </c>
      <c r="H17" s="119">
        <f t="shared" si="0"/>
        <v>1.6634750000000007</v>
      </c>
      <c r="I17" s="119">
        <f t="shared" si="0"/>
        <v>2.2179666666666673</v>
      </c>
      <c r="J17" s="119">
        <f t="shared" si="0"/>
        <v>2.772458333333334</v>
      </c>
      <c r="K17" s="119">
        <f t="shared" si="0"/>
        <v>3.3269500000000014</v>
      </c>
      <c r="L17" s="119">
        <f t="shared" si="0"/>
        <v>3.8814416666666682</v>
      </c>
      <c r="M17" s="126">
        <f t="shared" si="0"/>
        <v>4.435933333333335</v>
      </c>
    </row>
    <row r="18" spans="1:13" ht="14.25" thickBot="1">
      <c r="A18" s="16"/>
      <c r="B18" s="17"/>
      <c r="C18" s="18"/>
      <c r="D18" s="18"/>
      <c r="E18" s="44">
        <f>IF((E22-4*$C$12)&lt;0,0,(E22-4*$C$12))</f>
        <v>40</v>
      </c>
      <c r="F18" s="128">
        <f t="shared" si="1"/>
        <v>4.934999999999988</v>
      </c>
      <c r="G18" s="119">
        <f t="shared" si="0"/>
        <v>0.832369999999998</v>
      </c>
      <c r="H18" s="119">
        <f t="shared" si="0"/>
        <v>1.248554999999997</v>
      </c>
      <c r="I18" s="119">
        <f t="shared" si="0"/>
        <v>1.664739999999996</v>
      </c>
      <c r="J18" s="119">
        <f t="shared" si="0"/>
        <v>2.080924999999995</v>
      </c>
      <c r="K18" s="119">
        <f t="shared" si="0"/>
        <v>2.497109999999994</v>
      </c>
      <c r="L18" s="119">
        <f t="shared" si="0"/>
        <v>2.9132949999999926</v>
      </c>
      <c r="M18" s="126">
        <f t="shared" si="0"/>
        <v>3.329479999999992</v>
      </c>
    </row>
    <row r="19" spans="1:13" ht="14.25" thickBot="1">
      <c r="A19" s="16"/>
      <c r="B19" s="54"/>
      <c r="C19" s="48"/>
      <c r="D19" s="49" t="s">
        <v>13</v>
      </c>
      <c r="E19" s="50">
        <f>'Data Entry'!G10</f>
        <v>50</v>
      </c>
      <c r="F19" s="128">
        <f t="shared" si="1"/>
        <v>3.2950000000000017</v>
      </c>
      <c r="G19" s="119">
        <f t="shared" si="0"/>
        <v>0.5557566666666669</v>
      </c>
      <c r="H19" s="119">
        <f t="shared" si="0"/>
        <v>0.8336350000000003</v>
      </c>
      <c r="I19" s="119">
        <f t="shared" si="0"/>
        <v>1.1115133333333338</v>
      </c>
      <c r="J19" s="119">
        <f t="shared" si="0"/>
        <v>1.3893916666666672</v>
      </c>
      <c r="K19" s="119">
        <f t="shared" si="0"/>
        <v>1.6672700000000007</v>
      </c>
      <c r="L19" s="119">
        <f t="shared" si="0"/>
        <v>1.9451483333333341</v>
      </c>
      <c r="M19" s="126">
        <f t="shared" si="0"/>
        <v>2.2230266666666676</v>
      </c>
    </row>
    <row r="20" spans="1:13" ht="13.5">
      <c r="A20" s="16"/>
      <c r="B20" s="17"/>
      <c r="C20" s="18"/>
      <c r="D20" s="18"/>
      <c r="E20" s="51">
        <f>E19+C12</f>
        <v>60</v>
      </c>
      <c r="F20" s="128">
        <f t="shared" si="1"/>
        <v>1.6550000000000153</v>
      </c>
      <c r="G20" s="119">
        <f t="shared" si="0"/>
        <v>0.2791433333333359</v>
      </c>
      <c r="H20" s="119">
        <f t="shared" si="0"/>
        <v>0.41871500000000383</v>
      </c>
      <c r="I20" s="119">
        <f t="shared" si="0"/>
        <v>0.5582866666666718</v>
      </c>
      <c r="J20" s="119">
        <f t="shared" si="0"/>
        <v>0.6978583333333398</v>
      </c>
      <c r="K20" s="119">
        <f t="shared" si="0"/>
        <v>0.8374300000000077</v>
      </c>
      <c r="L20" s="119">
        <f t="shared" si="0"/>
        <v>0.9770016666666756</v>
      </c>
      <c r="M20" s="126">
        <f t="shared" si="0"/>
        <v>1.1165733333333436</v>
      </c>
    </row>
    <row r="21" spans="1:13" ht="13.5">
      <c r="A21" s="16"/>
      <c r="B21" s="17"/>
      <c r="C21" s="18"/>
      <c r="D21" s="18"/>
      <c r="E21" s="51">
        <f>E19+2*C12</f>
        <v>70</v>
      </c>
      <c r="F21" s="128">
        <f t="shared" si="1"/>
        <v>0.015000000000000568</v>
      </c>
      <c r="G21" s="119">
        <f t="shared" si="0"/>
        <v>0.0025300000000000955</v>
      </c>
      <c r="H21" s="119">
        <f t="shared" si="0"/>
        <v>0.0037950000000001437</v>
      </c>
      <c r="I21" s="119">
        <f t="shared" si="0"/>
        <v>0.005060000000000191</v>
      </c>
      <c r="J21" s="119">
        <f t="shared" si="0"/>
        <v>0.006325000000000239</v>
      </c>
      <c r="K21" s="119">
        <f t="shared" si="0"/>
        <v>0.0075900000000002875</v>
      </c>
      <c r="L21" s="119">
        <f t="shared" si="0"/>
        <v>0.008855000000000335</v>
      </c>
      <c r="M21" s="126">
        <f t="shared" si="0"/>
        <v>0.010120000000000382</v>
      </c>
    </row>
    <row r="22" spans="1:13" ht="13.5">
      <c r="A22" s="16"/>
      <c r="B22" s="17"/>
      <c r="C22" s="18"/>
      <c r="D22" s="18"/>
      <c r="E22" s="51">
        <f>E19+3*C12</f>
        <v>80</v>
      </c>
      <c r="F22" s="128">
        <f t="shared" si="1"/>
        <v>0</v>
      </c>
      <c r="G22" s="119">
        <f t="shared" si="0"/>
        <v>0</v>
      </c>
      <c r="H22" s="119">
        <f t="shared" si="0"/>
        <v>0</v>
      </c>
      <c r="I22" s="119">
        <f t="shared" si="0"/>
        <v>0</v>
      </c>
      <c r="J22" s="119">
        <f t="shared" si="0"/>
        <v>0</v>
      </c>
      <c r="K22" s="119">
        <f t="shared" si="0"/>
        <v>0</v>
      </c>
      <c r="L22" s="119">
        <f t="shared" si="0"/>
        <v>0</v>
      </c>
      <c r="M22" s="126">
        <f t="shared" si="0"/>
        <v>0</v>
      </c>
    </row>
    <row r="23" spans="1:13" ht="13.5">
      <c r="A23" s="16"/>
      <c r="B23" s="17"/>
      <c r="C23" s="18"/>
      <c r="D23" s="18"/>
      <c r="E23" s="195">
        <f>E19+4*C12</f>
        <v>90</v>
      </c>
      <c r="F23" s="128">
        <f t="shared" si="1"/>
        <v>0</v>
      </c>
      <c r="G23" s="119">
        <f t="shared" si="0"/>
        <v>0</v>
      </c>
      <c r="H23" s="119">
        <f t="shared" si="0"/>
        <v>0</v>
      </c>
      <c r="I23" s="119">
        <f t="shared" si="0"/>
        <v>0</v>
      </c>
      <c r="J23" s="119">
        <f t="shared" si="0"/>
        <v>0</v>
      </c>
      <c r="K23" s="119">
        <f t="shared" si="0"/>
        <v>0</v>
      </c>
      <c r="L23" s="119">
        <f t="shared" si="0"/>
        <v>0</v>
      </c>
      <c r="M23" s="126">
        <f t="shared" si="0"/>
        <v>0</v>
      </c>
    </row>
    <row r="24" spans="1:13" ht="13.5" customHeight="1">
      <c r="A24" s="16"/>
      <c r="B24" s="17"/>
      <c r="C24" s="18"/>
      <c r="D24" s="18"/>
      <c r="E24" s="78" t="s">
        <v>90</v>
      </c>
      <c r="F24" s="122"/>
      <c r="G24" s="122"/>
      <c r="H24" s="122"/>
      <c r="I24" s="12"/>
      <c r="J24" s="80"/>
      <c r="K24" s="200">
        <f>C12</f>
        <v>10</v>
      </c>
      <c r="L24" s="77" t="s">
        <v>30</v>
      </c>
      <c r="M24" s="123"/>
    </row>
    <row r="25" spans="1:13" ht="9.75" customHeight="1">
      <c r="A25" s="16"/>
      <c r="B25" s="17"/>
      <c r="C25" s="18"/>
      <c r="D25" s="18"/>
      <c r="E25" s="78" t="s">
        <v>114</v>
      </c>
      <c r="F25" s="122"/>
      <c r="G25" s="122"/>
      <c r="H25" s="122"/>
      <c r="I25" s="12"/>
      <c r="J25" s="80"/>
      <c r="K25" s="80"/>
      <c r="L25" s="80"/>
      <c r="M25" s="123"/>
    </row>
    <row r="26" spans="1:13" ht="9.75" customHeight="1">
      <c r="A26" s="16"/>
      <c r="B26" s="17"/>
      <c r="C26" s="18"/>
      <c r="D26" s="18"/>
      <c r="E26" s="79" t="s">
        <v>102</v>
      </c>
      <c r="F26" s="12"/>
      <c r="G26" s="122"/>
      <c r="H26" s="122"/>
      <c r="I26" s="122"/>
      <c r="J26" s="122"/>
      <c r="K26" s="122"/>
      <c r="L26" s="122"/>
      <c r="M26" s="123"/>
    </row>
    <row r="27" spans="1:13" ht="9.75" customHeight="1" thickBot="1">
      <c r="A27" s="16"/>
      <c r="B27" s="17"/>
      <c r="C27" s="18"/>
      <c r="D27" s="18"/>
      <c r="E27" s="125"/>
      <c r="F27" s="124"/>
      <c r="G27" s="124"/>
      <c r="H27" s="124"/>
      <c r="I27" s="154"/>
      <c r="J27" s="120"/>
      <c r="K27" s="120"/>
      <c r="L27" s="120"/>
      <c r="M27" s="121"/>
    </row>
    <row r="28" spans="2:13" ht="11.25" customHeight="1" thickBot="1">
      <c r="B28" s="224"/>
      <c r="C28" s="225"/>
      <c r="D28" s="225"/>
      <c r="E28" s="225"/>
      <c r="F28" s="225"/>
      <c r="G28" s="225"/>
      <c r="H28" s="225"/>
      <c r="I28" s="225"/>
      <c r="J28" s="55"/>
      <c r="K28" s="55"/>
      <c r="L28" s="55"/>
      <c r="M28" s="56"/>
    </row>
  </sheetData>
  <sheetProtection/>
  <mergeCells count="8">
    <mergeCell ref="B2:M2"/>
    <mergeCell ref="B3:M3"/>
    <mergeCell ref="B5:D5"/>
    <mergeCell ref="B7:C7"/>
    <mergeCell ref="B28:I28"/>
    <mergeCell ref="H8:L8"/>
    <mergeCell ref="G12:M12"/>
    <mergeCell ref="G13:M13"/>
  </mergeCells>
  <conditionalFormatting sqref="G16:M23">
    <cfRule type="cellIs" priority="1" dxfId="2" operator="between" stopIfTrue="1">
      <formula>1.45</formula>
      <formula>1.55</formula>
    </cfRule>
    <cfRule type="cellIs" priority="2" dxfId="0" operator="between" stopIfTrue="1">
      <formula>1.35</formula>
      <formula>1.45</formula>
    </cfRule>
    <cfRule type="cellIs" priority="3" dxfId="0" operator="between" stopIfTrue="1">
      <formula>1.55</formula>
      <formula>1.65</formula>
    </cfRule>
  </conditionalFormatting>
  <hyperlinks>
    <hyperlink ref="N2" location="'Barley (Dry) Crop'!A1" display="Return to Barley (Dry) as variable"/>
    <hyperlink ref="N3" location="'Barley (Dry) Fertilizer'!A1" display="Go to Fertilizer as variable"/>
    <hyperlink ref="N5" location="'Data Entry'!A1" display="Return to Data Entry"/>
  </hyperlink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N3" sqref="N3"/>
    </sheetView>
  </sheetViews>
  <sheetFormatPr defaultColWidth="9.140625" defaultRowHeight="12.75"/>
  <cols>
    <col min="1" max="1" width="1.57421875" style="10" customWidth="1"/>
    <col min="2" max="2" width="17.28125" style="10" customWidth="1"/>
    <col min="3" max="5" width="9.140625" style="10" customWidth="1"/>
    <col min="6" max="6" width="10.8515625" style="10" customWidth="1"/>
    <col min="7" max="13" width="9.140625" style="10" customWidth="1"/>
    <col min="14" max="14" width="29.851562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84</v>
      </c>
    </row>
    <row r="3" spans="1:14" ht="21">
      <c r="A3" s="11"/>
      <c r="B3" s="256" t="s">
        <v>49</v>
      </c>
      <c r="C3" s="257"/>
      <c r="D3" s="257"/>
      <c r="E3" s="257"/>
      <c r="F3" s="257"/>
      <c r="G3" s="257"/>
      <c r="H3" s="257"/>
      <c r="I3" s="257"/>
      <c r="J3" s="257"/>
      <c r="K3" s="257"/>
      <c r="L3" s="257"/>
      <c r="M3" s="258"/>
      <c r="N3" s="163" t="s">
        <v>76</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4" ht="15.75" customHeight="1" thickBot="1">
      <c r="A7" s="16"/>
      <c r="B7" s="238" t="s">
        <v>39</v>
      </c>
      <c r="C7" s="239"/>
      <c r="D7" s="18"/>
      <c r="E7" s="18"/>
      <c r="F7" s="18"/>
      <c r="G7" s="18"/>
      <c r="H7" s="19"/>
      <c r="I7" s="18"/>
      <c r="J7" s="19"/>
      <c r="K7" s="12"/>
      <c r="L7" s="12"/>
      <c r="M7" s="15"/>
      <c r="N7" s="162"/>
    </row>
    <row r="8" spans="1:13" ht="15" customHeight="1">
      <c r="A8" s="16"/>
      <c r="B8" s="87" t="s">
        <v>1</v>
      </c>
      <c r="C8" s="21" t="str">
        <f>'Data Entry'!C7</f>
        <v>UREA</v>
      </c>
      <c r="D8" s="18"/>
      <c r="E8" s="22"/>
      <c r="F8" s="23"/>
      <c r="G8" s="23"/>
      <c r="H8" s="262" t="s">
        <v>22</v>
      </c>
      <c r="I8" s="263"/>
      <c r="J8" s="263"/>
      <c r="K8" s="263"/>
      <c r="L8" s="263"/>
      <c r="M8" s="24"/>
    </row>
    <row r="9" spans="1:13" ht="13.5">
      <c r="A9" s="16"/>
      <c r="B9" s="20" t="s">
        <v>3</v>
      </c>
      <c r="C9" s="59">
        <f>'Data Entry'!C8</f>
        <v>600</v>
      </c>
      <c r="D9" s="18"/>
      <c r="E9" s="17"/>
      <c r="F9" s="18"/>
      <c r="G9" s="18"/>
      <c r="H9" s="19"/>
      <c r="I9" s="18"/>
      <c r="J9" s="19"/>
      <c r="K9" s="12"/>
      <c r="L9" s="12"/>
      <c r="M9" s="15"/>
    </row>
    <row r="10" spans="1:13" ht="13.5">
      <c r="A10" s="16"/>
      <c r="B10" s="20" t="s">
        <v>4</v>
      </c>
      <c r="C10" s="25">
        <f>'Data Entry'!C9</f>
        <v>46</v>
      </c>
      <c r="D10" s="18"/>
      <c r="E10" s="17"/>
      <c r="F10" s="18"/>
      <c r="G10" s="26">
        <f>J10-C14*3</f>
        <v>1</v>
      </c>
      <c r="H10" s="26">
        <f>J10-C14*2</f>
        <v>1.5</v>
      </c>
      <c r="I10" s="26">
        <f>J10-C14</f>
        <v>2</v>
      </c>
      <c r="J10" s="27">
        <f>'Data Entry'!F15</f>
        <v>2.5</v>
      </c>
      <c r="K10" s="26">
        <f>J10+C14</f>
        <v>3</v>
      </c>
      <c r="L10" s="26">
        <f>J10+C14*2</f>
        <v>3.5</v>
      </c>
      <c r="M10" s="28">
        <f>J10+C14*3</f>
        <v>4</v>
      </c>
    </row>
    <row r="11" spans="1:13" ht="13.5">
      <c r="A11" s="16"/>
      <c r="B11" s="20" t="s">
        <v>5</v>
      </c>
      <c r="C11" s="61">
        <f>(C9/((C10/100)*2200))</f>
        <v>0.5928853754940712</v>
      </c>
      <c r="D11" s="18"/>
      <c r="E11" s="17"/>
      <c r="F11" s="29"/>
      <c r="G11" s="18"/>
      <c r="H11" s="18"/>
      <c r="I11" s="18"/>
      <c r="J11" s="12"/>
      <c r="K11" s="12"/>
      <c r="L11" s="12"/>
      <c r="M11" s="15"/>
    </row>
    <row r="12" spans="1:13" ht="13.5">
      <c r="A12" s="16"/>
      <c r="B12" s="30" t="s">
        <v>20</v>
      </c>
      <c r="C12" s="31">
        <f>'Data Entry'!C11</f>
        <v>10</v>
      </c>
      <c r="D12" s="18"/>
      <c r="E12" s="32"/>
      <c r="F12" s="29"/>
      <c r="G12" s="264" t="s">
        <v>74</v>
      </c>
      <c r="H12" s="264"/>
      <c r="I12" s="264"/>
      <c r="J12" s="264"/>
      <c r="K12" s="264"/>
      <c r="L12" s="264"/>
      <c r="M12" s="265"/>
    </row>
    <row r="13" spans="1:13" ht="14.25" thickBot="1">
      <c r="A13" s="16"/>
      <c r="B13" s="33" t="s">
        <v>113</v>
      </c>
      <c r="C13" s="34"/>
      <c r="D13" s="18"/>
      <c r="E13" s="35" t="s">
        <v>9</v>
      </c>
      <c r="F13" s="36" t="s">
        <v>41</v>
      </c>
      <c r="G13" s="228" t="s">
        <v>42</v>
      </c>
      <c r="H13" s="228"/>
      <c r="I13" s="228"/>
      <c r="J13" s="228"/>
      <c r="K13" s="228"/>
      <c r="L13" s="228"/>
      <c r="M13" s="229"/>
    </row>
    <row r="14" spans="1:13" ht="13.5">
      <c r="A14" s="16"/>
      <c r="B14" s="37" t="s">
        <v>115</v>
      </c>
      <c r="C14" s="38">
        <f>'Data Entry'!C13</f>
        <v>0.5</v>
      </c>
      <c r="D14" s="18"/>
      <c r="E14" s="39" t="s">
        <v>11</v>
      </c>
      <c r="F14" s="169" t="s">
        <v>12</v>
      </c>
      <c r="G14" s="41"/>
      <c r="H14" s="41"/>
      <c r="I14" s="41"/>
      <c r="J14" s="41"/>
      <c r="K14" s="41"/>
      <c r="L14" s="41"/>
      <c r="M14" s="112"/>
    </row>
    <row r="15" spans="1:13" ht="13.5">
      <c r="A15" s="16"/>
      <c r="B15" s="43" t="s">
        <v>28</v>
      </c>
      <c r="C15" s="34"/>
      <c r="D15" s="18"/>
      <c r="E15" s="195">
        <f>IF((E19-4*$C$12)&lt;0,0,(E19-4*$C$12))</f>
        <v>0</v>
      </c>
      <c r="F15" s="128">
        <f>IF((((-0.0032*(E15+$C$16)^2+0.6709*(E15+$C$16))-(-0.0032*($C$16)^2+0.6709*($C$16)))-((-0.0032*((E15-$C$12)+$C$16)^2+0.6709*((E15-$C$12)+$C$16))-(-0.0032*($C$16)^2+0.6709*($C$16))))&lt;0,0,(-0.0032*(E15+$C$16)^2+0.6709*(E15+$C$16))-(-0.0032*($C$16)^2+0.6709*($C$16))-((-0.0032*((E15-$C$12)+$C$16)^2+0.6709*((E15-$C$12)+$C$16))-(-0.0032*($C$16)^2+0.6709*($C$16))))</f>
        <v>5.109000000000002</v>
      </c>
      <c r="G15" s="119">
        <f aca="true" t="shared" si="0" ref="G15:M23">($F15*G$10)/($C$12*$C$11)</f>
        <v>0.8617180000000002</v>
      </c>
      <c r="H15" s="119">
        <f t="shared" si="0"/>
        <v>1.2925770000000003</v>
      </c>
      <c r="I15" s="119">
        <f t="shared" si="0"/>
        <v>1.7234360000000004</v>
      </c>
      <c r="J15" s="119">
        <f t="shared" si="0"/>
        <v>2.1542950000000007</v>
      </c>
      <c r="K15" s="119">
        <f t="shared" si="0"/>
        <v>2.5851540000000006</v>
      </c>
      <c r="L15" s="119">
        <f t="shared" si="0"/>
        <v>3.016013000000001</v>
      </c>
      <c r="M15" s="126">
        <f t="shared" si="0"/>
        <v>3.446872000000001</v>
      </c>
    </row>
    <row r="16" spans="1:13" ht="13.5">
      <c r="A16" s="16"/>
      <c r="B16" s="37" t="s">
        <v>29</v>
      </c>
      <c r="C16" s="45">
        <f>'Data Entry'!C15</f>
        <v>30</v>
      </c>
      <c r="D16" s="18"/>
      <c r="E16" s="195">
        <f>IF((E20-4*$C$12)&lt;0,0,(E20-4*$C$12))</f>
        <v>10</v>
      </c>
      <c r="F16" s="128">
        <f>IF((((-0.0032*(E16+$C$16)^2+0.6709*(E16+$C$16))-(-0.0032*($C$16)^2+0.6709*($C$16)))-((-0.0032*(E15+$C$16)^2+0.6709*(E15+$C$16))-(-0.0032*($C$16)^2+0.6709*($C$16))))&lt;0,0,(-0.0032*(E16+$C$16)^2+0.6709*(E16+$C$16))-(-0.0032*($C$16)^2+0.6709*($C$16))-((-0.0032*(E15+$C$16)^2+0.6709*(E15+$C$16))-(-0.0032*($C$16)^2+0.6709*($C$16))))</f>
        <v>4.468999999999998</v>
      </c>
      <c r="G16" s="119">
        <f t="shared" si="0"/>
        <v>0.7537713333333329</v>
      </c>
      <c r="H16" s="119">
        <f t="shared" si="0"/>
        <v>1.1306569999999994</v>
      </c>
      <c r="I16" s="119">
        <f t="shared" si="0"/>
        <v>1.5075426666666658</v>
      </c>
      <c r="J16" s="119">
        <f t="shared" si="0"/>
        <v>1.8844283333333323</v>
      </c>
      <c r="K16" s="119">
        <f t="shared" si="0"/>
        <v>2.2613139999999987</v>
      </c>
      <c r="L16" s="119">
        <f t="shared" si="0"/>
        <v>2.638199666666665</v>
      </c>
      <c r="M16" s="126">
        <f t="shared" si="0"/>
        <v>3.0150853333333316</v>
      </c>
    </row>
    <row r="17" spans="1:13" ht="13.5">
      <c r="A17" s="16"/>
      <c r="B17" s="43" t="s">
        <v>30</v>
      </c>
      <c r="C17" s="46"/>
      <c r="D17" s="18"/>
      <c r="E17" s="195">
        <f>IF((E21-4*$C$12)&lt;0,0,(E21-4*$C$12))</f>
        <v>20</v>
      </c>
      <c r="F17" s="128">
        <f aca="true" t="shared" si="1" ref="F17:F23">IF((((-0.0032*(E17+$C$16)^2+0.6709*(E17+$C$16))-(-0.0032*($C$16)^2+0.6709*($C$16)))-((-0.0032*(E16+$C$16)^2+0.6709*(E16+$C$16))-(-0.0032*($C$16)^2+0.6709*($C$16))))&lt;0,0,(-0.0032*(E17+$C$16)^2+0.6709*(E17+$C$16))-(-0.0032*($C$16)^2+0.6709*($C$16))-((-0.0032*(E16+$C$16)^2+0.6709*(E16+$C$16))-(-0.0032*($C$16)^2+0.6709*($C$16))))</f>
        <v>3.8290000000000006</v>
      </c>
      <c r="G17" s="119">
        <f t="shared" si="0"/>
        <v>0.6458246666666667</v>
      </c>
      <c r="H17" s="119">
        <f t="shared" si="0"/>
        <v>0.9687370000000001</v>
      </c>
      <c r="I17" s="119">
        <f t="shared" si="0"/>
        <v>1.2916493333333334</v>
      </c>
      <c r="J17" s="119">
        <f t="shared" si="0"/>
        <v>1.614561666666667</v>
      </c>
      <c r="K17" s="119">
        <f t="shared" si="0"/>
        <v>1.9374740000000001</v>
      </c>
      <c r="L17" s="119">
        <f t="shared" si="0"/>
        <v>2.2603863333333334</v>
      </c>
      <c r="M17" s="126">
        <f t="shared" si="0"/>
        <v>2.583298666666667</v>
      </c>
    </row>
    <row r="18" spans="1:13" ht="14.25" thickBot="1">
      <c r="A18" s="16"/>
      <c r="B18" s="17"/>
      <c r="C18" s="18"/>
      <c r="D18" s="18"/>
      <c r="E18" s="198">
        <f>IF((E22-4*$C$12)&lt;0,0,(E22-4*$C$12))</f>
        <v>30</v>
      </c>
      <c r="F18" s="128">
        <f t="shared" si="1"/>
        <v>3.189</v>
      </c>
      <c r="G18" s="119">
        <f t="shared" si="0"/>
        <v>0.537878</v>
      </c>
      <c r="H18" s="119">
        <f t="shared" si="0"/>
        <v>0.806817</v>
      </c>
      <c r="I18" s="119">
        <f t="shared" si="0"/>
        <v>1.075756</v>
      </c>
      <c r="J18" s="119">
        <f t="shared" si="0"/>
        <v>1.344695</v>
      </c>
      <c r="K18" s="119">
        <f t="shared" si="0"/>
        <v>1.613634</v>
      </c>
      <c r="L18" s="119">
        <f t="shared" si="0"/>
        <v>1.8825729999999998</v>
      </c>
      <c r="M18" s="126">
        <f t="shared" si="0"/>
        <v>2.151512</v>
      </c>
    </row>
    <row r="19" spans="1:13" ht="14.25" thickBot="1">
      <c r="A19" s="16"/>
      <c r="B19" s="54"/>
      <c r="C19" s="48"/>
      <c r="D19" s="49" t="s">
        <v>13</v>
      </c>
      <c r="E19" s="50">
        <f>'Data Entry'!H10</f>
        <v>40</v>
      </c>
      <c r="F19" s="197">
        <f t="shared" si="1"/>
        <v>2.5489999999999995</v>
      </c>
      <c r="G19" s="119">
        <f t="shared" si="0"/>
        <v>0.4299313333333332</v>
      </c>
      <c r="H19" s="119">
        <f t="shared" si="0"/>
        <v>0.6448969999999998</v>
      </c>
      <c r="I19" s="119">
        <f t="shared" si="0"/>
        <v>0.8598626666666664</v>
      </c>
      <c r="J19" s="119">
        <f t="shared" si="0"/>
        <v>1.074828333333333</v>
      </c>
      <c r="K19" s="119">
        <f t="shared" si="0"/>
        <v>1.2897939999999997</v>
      </c>
      <c r="L19" s="119">
        <f t="shared" si="0"/>
        <v>1.5047596666666663</v>
      </c>
      <c r="M19" s="126">
        <f t="shared" si="0"/>
        <v>1.7197253333333329</v>
      </c>
    </row>
    <row r="20" spans="1:13" ht="13.5">
      <c r="A20" s="16"/>
      <c r="B20" s="17"/>
      <c r="C20" s="18"/>
      <c r="D20" s="18"/>
      <c r="E20" s="199">
        <f>E19+C12</f>
        <v>50</v>
      </c>
      <c r="F20" s="128">
        <f t="shared" si="1"/>
        <v>1.909000000000006</v>
      </c>
      <c r="G20" s="119">
        <f t="shared" si="0"/>
        <v>0.32198466666666764</v>
      </c>
      <c r="H20" s="119">
        <f t="shared" si="0"/>
        <v>0.4829770000000015</v>
      </c>
      <c r="I20" s="119">
        <f t="shared" si="0"/>
        <v>0.6439693333333353</v>
      </c>
      <c r="J20" s="119">
        <f t="shared" si="0"/>
        <v>0.8049616666666691</v>
      </c>
      <c r="K20" s="119">
        <f t="shared" si="0"/>
        <v>0.965954000000003</v>
      </c>
      <c r="L20" s="119">
        <f t="shared" si="0"/>
        <v>1.1269463333333367</v>
      </c>
      <c r="M20" s="126">
        <f t="shared" si="0"/>
        <v>1.2879386666666706</v>
      </c>
    </row>
    <row r="21" spans="1:13" ht="13.5">
      <c r="A21" s="16"/>
      <c r="B21" s="17"/>
      <c r="C21" s="18"/>
      <c r="D21" s="18"/>
      <c r="E21" s="195">
        <f>E19+2*C12</f>
        <v>60</v>
      </c>
      <c r="F21" s="128">
        <f t="shared" si="1"/>
        <v>1.2689999999999984</v>
      </c>
      <c r="G21" s="119">
        <f t="shared" si="0"/>
        <v>0.2140379999999997</v>
      </c>
      <c r="H21" s="119">
        <f t="shared" si="0"/>
        <v>0.32105699999999954</v>
      </c>
      <c r="I21" s="119">
        <f t="shared" si="0"/>
        <v>0.4280759999999994</v>
      </c>
      <c r="J21" s="119">
        <f t="shared" si="0"/>
        <v>0.5350949999999993</v>
      </c>
      <c r="K21" s="119">
        <f t="shared" si="0"/>
        <v>0.6421139999999991</v>
      </c>
      <c r="L21" s="119">
        <f t="shared" si="0"/>
        <v>0.7491329999999989</v>
      </c>
      <c r="M21" s="126">
        <f t="shared" si="0"/>
        <v>0.8561519999999988</v>
      </c>
    </row>
    <row r="22" spans="1:13" ht="13.5">
      <c r="A22" s="16"/>
      <c r="B22" s="17"/>
      <c r="C22" s="18"/>
      <c r="D22" s="18"/>
      <c r="E22" s="195">
        <f>E19+3*C12</f>
        <v>70</v>
      </c>
      <c r="F22" s="128">
        <f t="shared" si="1"/>
        <v>0.6289999999999978</v>
      </c>
      <c r="G22" s="119">
        <f t="shared" si="0"/>
        <v>0.10609133333333295</v>
      </c>
      <c r="H22" s="119">
        <f t="shared" si="0"/>
        <v>0.15913699999999942</v>
      </c>
      <c r="I22" s="119">
        <f t="shared" si="0"/>
        <v>0.2121826666666659</v>
      </c>
      <c r="J22" s="119">
        <f t="shared" si="0"/>
        <v>0.2652283333333324</v>
      </c>
      <c r="K22" s="119">
        <f t="shared" si="0"/>
        <v>0.31827399999999884</v>
      </c>
      <c r="L22" s="119">
        <f t="shared" si="0"/>
        <v>0.3713196666666653</v>
      </c>
      <c r="M22" s="126">
        <f t="shared" si="0"/>
        <v>0.4243653333333318</v>
      </c>
    </row>
    <row r="23" spans="1:13" ht="13.5">
      <c r="A23" s="16"/>
      <c r="B23" s="17"/>
      <c r="C23" s="18"/>
      <c r="D23" s="18"/>
      <c r="E23" s="195">
        <f>E19+4*C12</f>
        <v>80</v>
      </c>
      <c r="F23" s="128">
        <f t="shared" si="1"/>
        <v>0</v>
      </c>
      <c r="G23" s="119">
        <f t="shared" si="0"/>
        <v>0</v>
      </c>
      <c r="H23" s="119">
        <f t="shared" si="0"/>
        <v>0</v>
      </c>
      <c r="I23" s="119">
        <f t="shared" si="0"/>
        <v>0</v>
      </c>
      <c r="J23" s="119">
        <f t="shared" si="0"/>
        <v>0</v>
      </c>
      <c r="K23" s="119">
        <f t="shared" si="0"/>
        <v>0</v>
      </c>
      <c r="L23" s="119">
        <f t="shared" si="0"/>
        <v>0</v>
      </c>
      <c r="M23" s="126">
        <f t="shared" si="0"/>
        <v>0</v>
      </c>
    </row>
    <row r="24" spans="1:13" ht="13.5" customHeight="1">
      <c r="A24" s="16"/>
      <c r="B24" s="17"/>
      <c r="C24" s="18"/>
      <c r="D24" s="18"/>
      <c r="E24" s="78" t="s">
        <v>90</v>
      </c>
      <c r="F24" s="122"/>
      <c r="G24" s="122"/>
      <c r="H24" s="122"/>
      <c r="I24" s="12"/>
      <c r="J24" s="80"/>
      <c r="K24" s="200">
        <f>C12</f>
        <v>10</v>
      </c>
      <c r="L24" s="77" t="s">
        <v>30</v>
      </c>
      <c r="M24" s="123"/>
    </row>
    <row r="25" spans="1:13" ht="9.75" customHeight="1">
      <c r="A25" s="16"/>
      <c r="B25" s="17"/>
      <c r="C25" s="18"/>
      <c r="D25" s="18"/>
      <c r="E25" s="78" t="s">
        <v>114</v>
      </c>
      <c r="F25" s="122"/>
      <c r="G25" s="122"/>
      <c r="H25" s="122"/>
      <c r="I25" s="12"/>
      <c r="J25" s="80"/>
      <c r="K25" s="80"/>
      <c r="L25" s="80"/>
      <c r="M25" s="123"/>
    </row>
    <row r="26" spans="1:13" ht="9.75" customHeight="1">
      <c r="A26" s="16"/>
      <c r="B26" s="17"/>
      <c r="C26" s="18"/>
      <c r="D26" s="18"/>
      <c r="E26" s="79" t="s">
        <v>102</v>
      </c>
      <c r="F26" s="12"/>
      <c r="G26" s="122"/>
      <c r="H26" s="122"/>
      <c r="I26" s="122"/>
      <c r="J26" s="122"/>
      <c r="K26" s="122"/>
      <c r="L26" s="122"/>
      <c r="M26" s="123"/>
    </row>
    <row r="27" spans="1:13" ht="9.75" customHeight="1" thickBot="1">
      <c r="A27" s="16"/>
      <c r="B27" s="17"/>
      <c r="C27" s="18"/>
      <c r="D27" s="18"/>
      <c r="E27" s="125"/>
      <c r="F27" s="124"/>
      <c r="G27" s="124"/>
      <c r="H27" s="124"/>
      <c r="I27" s="154"/>
      <c r="J27" s="120"/>
      <c r="K27" s="120"/>
      <c r="L27" s="120"/>
      <c r="M27" s="121"/>
    </row>
    <row r="28" spans="2:13" ht="11.25" customHeight="1" thickBot="1">
      <c r="B28" s="224"/>
      <c r="C28" s="225"/>
      <c r="D28" s="225"/>
      <c r="E28" s="225"/>
      <c r="F28" s="225"/>
      <c r="G28" s="225"/>
      <c r="H28" s="225"/>
      <c r="I28" s="225"/>
      <c r="J28" s="55"/>
      <c r="K28" s="55"/>
      <c r="L28" s="55"/>
      <c r="M28" s="56"/>
    </row>
  </sheetData>
  <sheetProtection/>
  <mergeCells count="8">
    <mergeCell ref="B28:I28"/>
    <mergeCell ref="H8:L8"/>
    <mergeCell ref="G12:M12"/>
    <mergeCell ref="G13:M13"/>
    <mergeCell ref="B2:M2"/>
    <mergeCell ref="B3:M3"/>
    <mergeCell ref="B5:D5"/>
    <mergeCell ref="B7:C7"/>
  </mergeCells>
  <conditionalFormatting sqref="G16:M23">
    <cfRule type="cellIs" priority="1" dxfId="2" operator="between" stopIfTrue="1">
      <formula>1.45</formula>
      <formula>1.55</formula>
    </cfRule>
    <cfRule type="cellIs" priority="2" dxfId="0" operator="between" stopIfTrue="1">
      <formula>1.35</formula>
      <formula>1.45</formula>
    </cfRule>
    <cfRule type="cellIs" priority="3" dxfId="0" operator="between" stopIfTrue="1">
      <formula>1.55</formula>
      <formula>1.65</formula>
    </cfRule>
  </conditionalFormatting>
  <hyperlinks>
    <hyperlink ref="N2" location="'Barley (Arid) Crop'!A1" display="Return to Barley (Arid) as variable"/>
    <hyperlink ref="N3" location="'Barley (Arid) Fertilizer'!A1" display="Go to Fertilizer as variable"/>
    <hyperlink ref="N5" location="'Data Entry'!A1" display="Return to Data Entry"/>
  </hyperlink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N2" sqref="N2"/>
    </sheetView>
  </sheetViews>
  <sheetFormatPr defaultColWidth="9.140625" defaultRowHeight="12.75"/>
  <cols>
    <col min="1" max="1" width="1.57421875" style="10" customWidth="1"/>
    <col min="2" max="2" width="16.57421875" style="10" customWidth="1"/>
    <col min="3" max="5" width="9.140625" style="10" customWidth="1"/>
    <col min="6" max="6" width="10.8515625" style="10" customWidth="1"/>
    <col min="7" max="13" width="9.140625" style="10" customWidth="1"/>
    <col min="14" max="14" width="31.140625" style="10" customWidth="1"/>
    <col min="15" max="16384" width="9.140625" style="10" customWidth="1"/>
  </cols>
  <sheetData>
    <row r="1" spans="1:9" ht="6" customHeight="1" thickBot="1">
      <c r="A1" s="162"/>
      <c r="B1" s="11"/>
      <c r="C1" s="11"/>
      <c r="D1" s="11"/>
      <c r="E1" s="11"/>
      <c r="F1" s="11"/>
      <c r="G1" s="11"/>
      <c r="H1" s="11"/>
      <c r="I1" s="11"/>
    </row>
    <row r="2" spans="1:14" ht="21">
      <c r="A2" s="11"/>
      <c r="B2" s="253" t="s">
        <v>40</v>
      </c>
      <c r="C2" s="254"/>
      <c r="D2" s="254"/>
      <c r="E2" s="254"/>
      <c r="F2" s="254"/>
      <c r="G2" s="254"/>
      <c r="H2" s="254"/>
      <c r="I2" s="254"/>
      <c r="J2" s="254"/>
      <c r="K2" s="254"/>
      <c r="L2" s="254"/>
      <c r="M2" s="255"/>
      <c r="N2" s="163" t="s">
        <v>101</v>
      </c>
    </row>
    <row r="3" spans="1:14" ht="21">
      <c r="A3" s="11"/>
      <c r="B3" s="256" t="s">
        <v>65</v>
      </c>
      <c r="C3" s="257"/>
      <c r="D3" s="257"/>
      <c r="E3" s="257"/>
      <c r="F3" s="257"/>
      <c r="G3" s="257"/>
      <c r="H3" s="257"/>
      <c r="I3" s="257"/>
      <c r="J3" s="257"/>
      <c r="K3" s="257"/>
      <c r="L3" s="257"/>
      <c r="M3" s="258"/>
      <c r="N3" s="163" t="s">
        <v>76</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4" ht="15.75" customHeight="1" thickBot="1">
      <c r="A7" s="16"/>
      <c r="B7" s="238" t="s">
        <v>39</v>
      </c>
      <c r="C7" s="239"/>
      <c r="D7" s="18"/>
      <c r="E7" s="18"/>
      <c r="F7" s="18"/>
      <c r="G7" s="18"/>
      <c r="H7" s="19"/>
      <c r="I7" s="18"/>
      <c r="J7" s="19"/>
      <c r="K7" s="12"/>
      <c r="L7" s="12"/>
      <c r="M7" s="15"/>
      <c r="N7" s="162"/>
    </row>
    <row r="8" spans="1:13" ht="15" customHeight="1">
      <c r="A8" s="16"/>
      <c r="B8" s="87" t="s">
        <v>1</v>
      </c>
      <c r="C8" s="21" t="str">
        <f>'Data Entry'!C7</f>
        <v>UREA</v>
      </c>
      <c r="D8" s="18"/>
      <c r="E8" s="22"/>
      <c r="F8" s="23"/>
      <c r="G8" s="23"/>
      <c r="H8" s="262" t="s">
        <v>26</v>
      </c>
      <c r="I8" s="263"/>
      <c r="J8" s="263"/>
      <c r="K8" s="263"/>
      <c r="L8" s="263"/>
      <c r="M8" s="24"/>
    </row>
    <row r="9" spans="1:13" ht="13.5">
      <c r="A9" s="16"/>
      <c r="B9" s="20" t="s">
        <v>3</v>
      </c>
      <c r="C9" s="59">
        <f>'Data Entry'!C8</f>
        <v>600</v>
      </c>
      <c r="D9" s="18"/>
      <c r="E9" s="17"/>
      <c r="F9" s="18"/>
      <c r="G9" s="18"/>
      <c r="H9" s="19"/>
      <c r="I9" s="18"/>
      <c r="J9" s="19"/>
      <c r="K9" s="12"/>
      <c r="L9" s="12"/>
      <c r="M9" s="15"/>
    </row>
    <row r="10" spans="1:13" ht="13.5">
      <c r="A10" s="16"/>
      <c r="B10" s="20" t="s">
        <v>4</v>
      </c>
      <c r="C10" s="25">
        <f>'Data Entry'!C9</f>
        <v>46</v>
      </c>
      <c r="D10" s="18"/>
      <c r="E10" s="17"/>
      <c r="F10" s="18"/>
      <c r="G10" s="26">
        <f>J10-C14*3</f>
        <v>7.5</v>
      </c>
      <c r="H10" s="26">
        <f>J10-C14*2</f>
        <v>8</v>
      </c>
      <c r="I10" s="26">
        <f>J10-C14</f>
        <v>8.5</v>
      </c>
      <c r="J10" s="27">
        <f>'Data Entry'!F16</f>
        <v>9</v>
      </c>
      <c r="K10" s="26">
        <f>J10+C14</f>
        <v>9.5</v>
      </c>
      <c r="L10" s="26">
        <f>J10+C14*2</f>
        <v>10</v>
      </c>
      <c r="M10" s="28">
        <f>J10+C14*3</f>
        <v>10.5</v>
      </c>
    </row>
    <row r="11" spans="1:13" ht="13.5">
      <c r="A11" s="16"/>
      <c r="B11" s="20" t="s">
        <v>5</v>
      </c>
      <c r="C11" s="61">
        <f>(C9/((C10/100)*2200))</f>
        <v>0.5928853754940712</v>
      </c>
      <c r="D11" s="18"/>
      <c r="E11" s="17"/>
      <c r="F11" s="29"/>
      <c r="G11" s="18"/>
      <c r="H11" s="18"/>
      <c r="I11" s="18"/>
      <c r="J11" s="12"/>
      <c r="K11" s="12"/>
      <c r="L11" s="12"/>
      <c r="M11" s="15"/>
    </row>
    <row r="12" spans="1:13" ht="13.5">
      <c r="A12" s="16"/>
      <c r="B12" s="30" t="s">
        <v>20</v>
      </c>
      <c r="C12" s="31">
        <f>'Data Entry'!C11</f>
        <v>10</v>
      </c>
      <c r="D12" s="18"/>
      <c r="E12" s="32"/>
      <c r="F12" s="29"/>
      <c r="G12" s="264" t="s">
        <v>74</v>
      </c>
      <c r="H12" s="264"/>
      <c r="I12" s="264"/>
      <c r="J12" s="264"/>
      <c r="K12" s="264"/>
      <c r="L12" s="264"/>
      <c r="M12" s="265"/>
    </row>
    <row r="13" spans="1:13" ht="14.25" thickBot="1">
      <c r="A13" s="16"/>
      <c r="B13" s="33" t="s">
        <v>113</v>
      </c>
      <c r="C13" s="34"/>
      <c r="D13" s="18"/>
      <c r="E13" s="35" t="s">
        <v>9</v>
      </c>
      <c r="F13" s="36" t="s">
        <v>41</v>
      </c>
      <c r="G13" s="228" t="s">
        <v>42</v>
      </c>
      <c r="H13" s="228"/>
      <c r="I13" s="228"/>
      <c r="J13" s="228"/>
      <c r="K13" s="228"/>
      <c r="L13" s="228"/>
      <c r="M13" s="229"/>
    </row>
    <row r="14" spans="1:13" ht="13.5">
      <c r="A14" s="16"/>
      <c r="B14" s="37" t="s">
        <v>115</v>
      </c>
      <c r="C14" s="38">
        <f>'Data Entry'!C13</f>
        <v>0.5</v>
      </c>
      <c r="D14" s="18"/>
      <c r="E14" s="39" t="s">
        <v>11</v>
      </c>
      <c r="F14" s="40" t="s">
        <v>12</v>
      </c>
      <c r="G14" s="41"/>
      <c r="H14" s="41"/>
      <c r="I14" s="41"/>
      <c r="J14" s="41"/>
      <c r="K14" s="41"/>
      <c r="L14" s="41"/>
      <c r="M14" s="112"/>
    </row>
    <row r="15" spans="1:13" ht="13.5">
      <c r="A15" s="16"/>
      <c r="B15" s="43" t="s">
        <v>28</v>
      </c>
      <c r="C15" s="34"/>
      <c r="D15" s="18"/>
      <c r="E15" s="195">
        <f>IF((E19-4*$C$12)&lt;0,0,(E19-4*$C$12))</f>
        <v>30</v>
      </c>
      <c r="F15" s="128">
        <f>IF((((-0.0009*(E15+$C$16)^2+0.2797*(E15+$C$16))-(-0.0009*($C$16)^2+0.2797*($C$16)))-((-0.0009*((E15-$C$12)+$C$16)^2+0.2797*((E15-$C$12)+$C$16))-(-0.0009*($C$16)^2+0.2797*($C$16))))&lt;0,0,((-0.0009*(E15+$C$16)^2+0.2797*(E15+$C$16))-(-0.0009*($C$16)^2+0.2797*($C$16)))-((-0.0009*((E15-$C$12)+$C$16)^2+0.2797*((E15-$C$12)+$C$16))-(-0.0009*($C$16)^2+0.2797*($C$16))))</f>
        <v>1.8070000000000004</v>
      </c>
      <c r="G15" s="119">
        <f aca="true" t="shared" si="0" ref="G15:M23">($F15*G$10)/($C$12*$C$11)</f>
        <v>2.285855</v>
      </c>
      <c r="H15" s="119">
        <f t="shared" si="0"/>
        <v>2.4382453333333336</v>
      </c>
      <c r="I15" s="119">
        <f t="shared" si="0"/>
        <v>2.590635666666667</v>
      </c>
      <c r="J15" s="119">
        <f t="shared" si="0"/>
        <v>2.743026000000001</v>
      </c>
      <c r="K15" s="119">
        <f t="shared" si="0"/>
        <v>2.895416333333334</v>
      </c>
      <c r="L15" s="119">
        <f t="shared" si="0"/>
        <v>3.047806666666667</v>
      </c>
      <c r="M15" s="126">
        <f t="shared" si="0"/>
        <v>3.2001970000000006</v>
      </c>
    </row>
    <row r="16" spans="1:13" ht="13.5">
      <c r="A16" s="16"/>
      <c r="B16" s="37" t="s">
        <v>29</v>
      </c>
      <c r="C16" s="45">
        <f>'Data Entry'!C15</f>
        <v>30</v>
      </c>
      <c r="D16" s="18"/>
      <c r="E16" s="195">
        <f>IF((E20-4*$C$12)&lt;0,0,(E20-4*$C$12))</f>
        <v>40</v>
      </c>
      <c r="F16" s="128">
        <f aca="true" t="shared" si="1" ref="F16:F23">IF((((-0.0009*(E16+$C$16)^2+0.2797*(E16+$C$16))-(-0.0009*($C$16)^2+0.2797*($C$16)))-((-0.0009*((E16-$C$12)+$C$16)^2+0.2797*((E16-$C$12)+$C$16))-(-0.0009*($C$16)^2+0.2797*($C$16))))&lt;0,0,((-0.0009*(E16+$C$16)^2+0.2797*(E16+$C$16))-(-0.0009*($C$16)^2+0.2797*($C$16)))-((-0.0009*((E16-$C$12)+$C$16)^2+0.2797*((E16-$C$12)+$C$16))-(-0.0009*($C$16)^2+0.2797*($C$16))))</f>
        <v>1.6270000000000007</v>
      </c>
      <c r="G16" s="119">
        <f t="shared" si="0"/>
        <v>2.0581550000000006</v>
      </c>
      <c r="H16" s="119">
        <f t="shared" si="0"/>
        <v>2.195365333333334</v>
      </c>
      <c r="I16" s="119">
        <f t="shared" si="0"/>
        <v>2.3325756666666675</v>
      </c>
      <c r="J16" s="119">
        <f t="shared" si="0"/>
        <v>2.469786000000001</v>
      </c>
      <c r="K16" s="119">
        <f t="shared" si="0"/>
        <v>2.606996333333334</v>
      </c>
      <c r="L16" s="119">
        <f t="shared" si="0"/>
        <v>2.744206666666668</v>
      </c>
      <c r="M16" s="126">
        <f t="shared" si="0"/>
        <v>2.8814170000000012</v>
      </c>
    </row>
    <row r="17" spans="1:13" ht="13.5">
      <c r="A17" s="16"/>
      <c r="B17" s="43" t="s">
        <v>30</v>
      </c>
      <c r="C17" s="46"/>
      <c r="D17" s="18"/>
      <c r="E17" s="195">
        <f>IF((E21-4*$C$12)&lt;0,0,(E21-4*$C$12))</f>
        <v>50</v>
      </c>
      <c r="F17" s="128">
        <f t="shared" si="1"/>
        <v>1.447</v>
      </c>
      <c r="G17" s="119">
        <f t="shared" si="0"/>
        <v>1.830455</v>
      </c>
      <c r="H17" s="119">
        <f t="shared" si="0"/>
        <v>1.9524853333333332</v>
      </c>
      <c r="I17" s="119">
        <f t="shared" si="0"/>
        <v>2.0745156666666666</v>
      </c>
      <c r="J17" s="119">
        <f t="shared" si="0"/>
        <v>2.1965459999999997</v>
      </c>
      <c r="K17" s="119">
        <f t="shared" si="0"/>
        <v>2.318576333333333</v>
      </c>
      <c r="L17" s="119">
        <f t="shared" si="0"/>
        <v>2.4406066666666666</v>
      </c>
      <c r="M17" s="126">
        <f t="shared" si="0"/>
        <v>2.562637</v>
      </c>
    </row>
    <row r="18" spans="1:13" ht="14.25" thickBot="1">
      <c r="A18" s="16"/>
      <c r="B18" s="17"/>
      <c r="C18" s="18"/>
      <c r="D18" s="18"/>
      <c r="E18" s="198">
        <f>IF((E22-4*$C$12)&lt;0,0,(E22-4*$C$12))</f>
        <v>60</v>
      </c>
      <c r="F18" s="128">
        <f t="shared" si="1"/>
        <v>1.267000000000003</v>
      </c>
      <c r="G18" s="119">
        <f t="shared" si="0"/>
        <v>1.6027550000000037</v>
      </c>
      <c r="H18" s="119">
        <f t="shared" si="0"/>
        <v>1.7096053333333372</v>
      </c>
      <c r="I18" s="119">
        <f t="shared" si="0"/>
        <v>1.816455666666671</v>
      </c>
      <c r="J18" s="119">
        <f t="shared" si="0"/>
        <v>1.9233060000000044</v>
      </c>
      <c r="K18" s="119">
        <f t="shared" si="0"/>
        <v>2.030156333333338</v>
      </c>
      <c r="L18" s="119">
        <f t="shared" si="0"/>
        <v>2.1370066666666716</v>
      </c>
      <c r="M18" s="126">
        <f t="shared" si="0"/>
        <v>2.243857000000005</v>
      </c>
    </row>
    <row r="19" spans="1:13" ht="14.25" thickBot="1">
      <c r="A19" s="16"/>
      <c r="B19" s="54"/>
      <c r="C19" s="48"/>
      <c r="D19" s="49" t="s">
        <v>13</v>
      </c>
      <c r="E19" s="50">
        <f>'Data Entry'!F11</f>
        <v>70</v>
      </c>
      <c r="F19" s="197">
        <f t="shared" si="1"/>
        <v>1.0869999999999962</v>
      </c>
      <c r="G19" s="119">
        <f t="shared" si="0"/>
        <v>1.375054999999995</v>
      </c>
      <c r="H19" s="119">
        <f t="shared" si="0"/>
        <v>1.466725333333328</v>
      </c>
      <c r="I19" s="119">
        <f t="shared" si="0"/>
        <v>1.5583956666666612</v>
      </c>
      <c r="J19" s="119">
        <f t="shared" si="0"/>
        <v>1.650065999999994</v>
      </c>
      <c r="K19" s="119">
        <f t="shared" si="0"/>
        <v>1.7417363333333271</v>
      </c>
      <c r="L19" s="119">
        <f t="shared" si="0"/>
        <v>1.8334066666666602</v>
      </c>
      <c r="M19" s="126">
        <f t="shared" si="0"/>
        <v>1.925076999999993</v>
      </c>
    </row>
    <row r="20" spans="1:13" ht="13.5">
      <c r="A20" s="16"/>
      <c r="B20" s="17"/>
      <c r="C20" s="18"/>
      <c r="D20" s="18"/>
      <c r="E20" s="199">
        <f>E19+C12</f>
        <v>80</v>
      </c>
      <c r="F20" s="128">
        <f t="shared" si="1"/>
        <v>0.907</v>
      </c>
      <c r="G20" s="119">
        <f t="shared" si="0"/>
        <v>1.147355</v>
      </c>
      <c r="H20" s="119">
        <f t="shared" si="0"/>
        <v>1.2238453333333332</v>
      </c>
      <c r="I20" s="119">
        <f t="shared" si="0"/>
        <v>1.3003356666666666</v>
      </c>
      <c r="J20" s="119">
        <f t="shared" si="0"/>
        <v>1.3768259999999999</v>
      </c>
      <c r="K20" s="119">
        <f t="shared" si="0"/>
        <v>1.4533163333333332</v>
      </c>
      <c r="L20" s="119">
        <f t="shared" si="0"/>
        <v>1.5298066666666665</v>
      </c>
      <c r="M20" s="126">
        <f t="shared" si="0"/>
        <v>1.6062969999999999</v>
      </c>
    </row>
    <row r="21" spans="1:13" ht="13.5">
      <c r="A21" s="16"/>
      <c r="B21" s="17"/>
      <c r="C21" s="18"/>
      <c r="D21" s="18"/>
      <c r="E21" s="195">
        <f>E19+2*C12</f>
        <v>90</v>
      </c>
      <c r="F21" s="128">
        <f t="shared" si="1"/>
        <v>0.7270000000000003</v>
      </c>
      <c r="G21" s="119">
        <f t="shared" si="0"/>
        <v>0.9196550000000003</v>
      </c>
      <c r="H21" s="119">
        <f t="shared" si="0"/>
        <v>0.9809653333333337</v>
      </c>
      <c r="I21" s="119">
        <f t="shared" si="0"/>
        <v>1.042275666666667</v>
      </c>
      <c r="J21" s="119">
        <f t="shared" si="0"/>
        <v>1.1035860000000004</v>
      </c>
      <c r="K21" s="119">
        <f t="shared" si="0"/>
        <v>1.1648963333333338</v>
      </c>
      <c r="L21" s="119">
        <f t="shared" si="0"/>
        <v>1.2262066666666671</v>
      </c>
      <c r="M21" s="126">
        <f t="shared" si="0"/>
        <v>1.2875170000000005</v>
      </c>
    </row>
    <row r="22" spans="1:13" ht="13.5">
      <c r="A22" s="16"/>
      <c r="B22" s="17"/>
      <c r="C22" s="18"/>
      <c r="D22" s="18"/>
      <c r="E22" s="195">
        <f>E19+3*C12</f>
        <v>100</v>
      </c>
      <c r="F22" s="128">
        <f t="shared" si="1"/>
        <v>0.546999999999997</v>
      </c>
      <c r="G22" s="119">
        <f t="shared" si="0"/>
        <v>0.6919549999999962</v>
      </c>
      <c r="H22" s="119">
        <f t="shared" si="0"/>
        <v>0.7380853333333293</v>
      </c>
      <c r="I22" s="119">
        <f t="shared" si="0"/>
        <v>0.7842156666666624</v>
      </c>
      <c r="J22" s="119">
        <f t="shared" si="0"/>
        <v>0.8303459999999955</v>
      </c>
      <c r="K22" s="119">
        <f t="shared" si="0"/>
        <v>0.8764763333333285</v>
      </c>
      <c r="L22" s="119">
        <f t="shared" si="0"/>
        <v>0.9226066666666616</v>
      </c>
      <c r="M22" s="126">
        <f t="shared" si="0"/>
        <v>0.9687369999999947</v>
      </c>
    </row>
    <row r="23" spans="1:13" ht="13.5">
      <c r="A23" s="16"/>
      <c r="B23" s="17"/>
      <c r="C23" s="18"/>
      <c r="D23" s="18"/>
      <c r="E23" s="195">
        <f>E19+4*C12</f>
        <v>110</v>
      </c>
      <c r="F23" s="128">
        <f t="shared" si="1"/>
        <v>0.36700000000000443</v>
      </c>
      <c r="G23" s="119">
        <f t="shared" si="0"/>
        <v>0.4642550000000056</v>
      </c>
      <c r="H23" s="119">
        <f t="shared" si="0"/>
        <v>0.49520533333333927</v>
      </c>
      <c r="I23" s="119">
        <f t="shared" si="0"/>
        <v>0.526155666666673</v>
      </c>
      <c r="J23" s="119">
        <f t="shared" si="0"/>
        <v>0.5571060000000067</v>
      </c>
      <c r="K23" s="119">
        <f t="shared" si="0"/>
        <v>0.5880563333333404</v>
      </c>
      <c r="L23" s="119">
        <f t="shared" si="0"/>
        <v>0.6190066666666741</v>
      </c>
      <c r="M23" s="126">
        <f t="shared" si="0"/>
        <v>0.6499570000000078</v>
      </c>
    </row>
    <row r="24" spans="1:13" ht="13.5" customHeight="1">
      <c r="A24" s="16"/>
      <c r="B24" s="17"/>
      <c r="C24" s="18"/>
      <c r="D24" s="18"/>
      <c r="E24" s="78" t="s">
        <v>90</v>
      </c>
      <c r="F24" s="122"/>
      <c r="G24" s="122"/>
      <c r="H24" s="122"/>
      <c r="I24" s="12"/>
      <c r="J24" s="80"/>
      <c r="K24" s="200">
        <f>C12</f>
        <v>10</v>
      </c>
      <c r="L24" s="77" t="s">
        <v>30</v>
      </c>
      <c r="M24" s="123"/>
    </row>
    <row r="25" spans="1:13" ht="9.75" customHeight="1">
      <c r="A25" s="16"/>
      <c r="B25" s="17"/>
      <c r="C25" s="18"/>
      <c r="D25" s="18"/>
      <c r="E25" s="78" t="s">
        <v>114</v>
      </c>
      <c r="F25" s="122"/>
      <c r="G25" s="122"/>
      <c r="H25" s="122"/>
      <c r="I25" s="12"/>
      <c r="J25" s="80"/>
      <c r="K25" s="80"/>
      <c r="L25" s="80"/>
      <c r="M25" s="123"/>
    </row>
    <row r="26" spans="1:13" ht="9.75" customHeight="1">
      <c r="A26" s="16"/>
      <c r="B26" s="17"/>
      <c r="C26" s="18"/>
      <c r="D26" s="18"/>
      <c r="E26" s="79" t="s">
        <v>102</v>
      </c>
      <c r="F26" s="12"/>
      <c r="G26" s="122"/>
      <c r="H26" s="122"/>
      <c r="I26" s="122"/>
      <c r="J26" s="122"/>
      <c r="K26" s="122"/>
      <c r="L26" s="122"/>
      <c r="M26" s="123"/>
    </row>
    <row r="27" spans="1:13" ht="9.75" customHeight="1" thickBot="1">
      <c r="A27" s="16"/>
      <c r="B27" s="17"/>
      <c r="C27" s="18"/>
      <c r="D27" s="18"/>
      <c r="E27" s="125"/>
      <c r="F27" s="124"/>
      <c r="G27" s="124"/>
      <c r="H27" s="124"/>
      <c r="I27" s="154"/>
      <c r="J27" s="120"/>
      <c r="K27" s="120"/>
      <c r="L27" s="120"/>
      <c r="M27" s="121"/>
    </row>
    <row r="28" spans="2:13" ht="11.25" customHeight="1" thickBot="1">
      <c r="B28" s="224"/>
      <c r="C28" s="225"/>
      <c r="D28" s="225"/>
      <c r="E28" s="225"/>
      <c r="F28" s="225"/>
      <c r="G28" s="225"/>
      <c r="H28" s="225"/>
      <c r="I28" s="225"/>
      <c r="J28" s="55"/>
      <c r="K28" s="55"/>
      <c r="L28" s="55"/>
      <c r="M28" s="56"/>
    </row>
  </sheetData>
  <sheetProtection/>
  <mergeCells count="8">
    <mergeCell ref="G13:M13"/>
    <mergeCell ref="B28:I28"/>
    <mergeCell ref="B2:M2"/>
    <mergeCell ref="B3:M3"/>
    <mergeCell ref="B5:D5"/>
    <mergeCell ref="B7:C7"/>
    <mergeCell ref="H8:L8"/>
    <mergeCell ref="G12:M12"/>
  </mergeCells>
  <conditionalFormatting sqref="G16:M23">
    <cfRule type="cellIs" priority="1" dxfId="2" operator="between" stopIfTrue="1">
      <formula>1.45</formula>
      <formula>1.55</formula>
    </cfRule>
    <cfRule type="cellIs" priority="2" dxfId="0" operator="between" stopIfTrue="1">
      <formula>1.35</formula>
      <formula>1.45</formula>
    </cfRule>
    <cfRule type="cellIs" priority="3" dxfId="0" operator="between" stopIfTrue="1">
      <formula>1.55</formula>
      <formula>1.65</formula>
    </cfRule>
  </conditionalFormatting>
  <hyperlinks>
    <hyperlink ref="N2" location="'Canola Crop'!A1" display="Return Canola as variable"/>
    <hyperlink ref="N3" location="'Canola Fertilizer'!A1" display="Go to Fertilizer as variable"/>
    <hyperlink ref="N5" location="'Data Entry'!A1" display="Return to Data Entry"/>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N2" sqref="N2"/>
    </sheetView>
  </sheetViews>
  <sheetFormatPr defaultColWidth="9.140625" defaultRowHeight="12.75"/>
  <cols>
    <col min="1" max="1" width="1.57421875" style="10" customWidth="1"/>
    <col min="2" max="2" width="16.57421875" style="10" customWidth="1"/>
    <col min="3" max="5" width="9.140625" style="10" customWidth="1"/>
    <col min="6" max="6" width="13.57421875" style="10" customWidth="1"/>
    <col min="7" max="13" width="9.140625" style="10" customWidth="1"/>
    <col min="14" max="14" width="23.710937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88</v>
      </c>
    </row>
    <row r="3" spans="1:14" ht="21">
      <c r="A3" s="11"/>
      <c r="B3" s="256" t="s">
        <v>65</v>
      </c>
      <c r="C3" s="257"/>
      <c r="D3" s="257"/>
      <c r="E3" s="257"/>
      <c r="F3" s="257"/>
      <c r="G3" s="257"/>
      <c r="H3" s="257"/>
      <c r="I3" s="257"/>
      <c r="J3" s="257"/>
      <c r="K3" s="257"/>
      <c r="L3" s="257"/>
      <c r="M3" s="258"/>
      <c r="N3" s="163" t="s">
        <v>76</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39</v>
      </c>
      <c r="C7" s="239"/>
      <c r="D7" s="18"/>
      <c r="E7" s="18"/>
      <c r="F7" s="18"/>
      <c r="G7" s="18"/>
      <c r="H7" s="19"/>
      <c r="I7" s="18"/>
      <c r="J7" s="19"/>
      <c r="K7" s="12"/>
      <c r="L7" s="12"/>
      <c r="M7" s="15"/>
    </row>
    <row r="8" spans="1:13" ht="15" customHeight="1">
      <c r="A8" s="16"/>
      <c r="B8" s="87" t="s">
        <v>1</v>
      </c>
      <c r="C8" s="21" t="str">
        <f>'Data Entry'!C7</f>
        <v>UREA</v>
      </c>
      <c r="D8" s="18"/>
      <c r="E8" s="22"/>
      <c r="F8" s="23"/>
      <c r="G8" s="23"/>
      <c r="H8" s="262" t="s">
        <v>14</v>
      </c>
      <c r="I8" s="263"/>
      <c r="J8" s="263"/>
      <c r="K8" s="263"/>
      <c r="L8" s="263"/>
      <c r="M8" s="24"/>
    </row>
    <row r="9" spans="1:13" ht="13.5">
      <c r="A9" s="16"/>
      <c r="B9" s="20" t="s">
        <v>3</v>
      </c>
      <c r="C9" s="59">
        <f>'Data Entry'!C8</f>
        <v>600</v>
      </c>
      <c r="D9" s="18"/>
      <c r="E9" s="17"/>
      <c r="F9" s="18"/>
      <c r="G9" s="18"/>
      <c r="H9" s="19"/>
      <c r="I9" s="18"/>
      <c r="J9" s="19"/>
      <c r="K9" s="12"/>
      <c r="L9" s="12"/>
      <c r="M9" s="15"/>
    </row>
    <row r="10" spans="1:13" ht="13.5">
      <c r="A10" s="16"/>
      <c r="B10" s="20" t="s">
        <v>4</v>
      </c>
      <c r="C10" s="25">
        <f>'Data Entry'!C9</f>
        <v>46</v>
      </c>
      <c r="D10" s="18"/>
      <c r="E10" s="17"/>
      <c r="F10" s="18"/>
      <c r="G10" s="26">
        <f>J10-C14*3</f>
        <v>12.5</v>
      </c>
      <c r="H10" s="26">
        <f>J10-C14*2</f>
        <v>13</v>
      </c>
      <c r="I10" s="26">
        <f>J10-C14</f>
        <v>13.5</v>
      </c>
      <c r="J10" s="27">
        <f>'Data Entry'!F17</f>
        <v>14</v>
      </c>
      <c r="K10" s="26">
        <f>J10+C14</f>
        <v>14.5</v>
      </c>
      <c r="L10" s="26">
        <f>J10+C14*2</f>
        <v>15</v>
      </c>
      <c r="M10" s="28">
        <f>J10+C14*3</f>
        <v>15.5</v>
      </c>
    </row>
    <row r="11" spans="1:13" ht="13.5">
      <c r="A11" s="16"/>
      <c r="B11" s="20" t="s">
        <v>5</v>
      </c>
      <c r="C11" s="61">
        <f>(C9/((C10/100)*2200))</f>
        <v>0.5928853754940712</v>
      </c>
      <c r="D11" s="18"/>
      <c r="E11" s="17"/>
      <c r="F11" s="29"/>
      <c r="G11" s="18"/>
      <c r="H11" s="18"/>
      <c r="I11" s="18"/>
      <c r="J11" s="12"/>
      <c r="K11" s="12"/>
      <c r="L11" s="12"/>
      <c r="M11" s="15"/>
    </row>
    <row r="12" spans="1:13" ht="13.5">
      <c r="A12" s="16"/>
      <c r="B12" s="30" t="s">
        <v>20</v>
      </c>
      <c r="C12" s="31">
        <f>'Data Entry'!C11</f>
        <v>10</v>
      </c>
      <c r="D12" s="18"/>
      <c r="E12" s="32"/>
      <c r="F12" s="29"/>
      <c r="G12" s="264" t="s">
        <v>74</v>
      </c>
      <c r="H12" s="264"/>
      <c r="I12" s="264"/>
      <c r="J12" s="264"/>
      <c r="K12" s="264"/>
      <c r="L12" s="264"/>
      <c r="M12" s="265"/>
    </row>
    <row r="13" spans="1:13" ht="14.25" thickBot="1">
      <c r="A13" s="16"/>
      <c r="B13" s="33" t="s">
        <v>113</v>
      </c>
      <c r="C13" s="34"/>
      <c r="D13" s="18"/>
      <c r="E13" s="35" t="s">
        <v>9</v>
      </c>
      <c r="F13" s="36" t="s">
        <v>41</v>
      </c>
      <c r="G13" s="228" t="s">
        <v>42</v>
      </c>
      <c r="H13" s="228"/>
      <c r="I13" s="228"/>
      <c r="J13" s="228"/>
      <c r="K13" s="228"/>
      <c r="L13" s="228"/>
      <c r="M13" s="229"/>
    </row>
    <row r="14" spans="1:13" ht="13.5">
      <c r="A14" s="16"/>
      <c r="B14" s="37" t="s">
        <v>115</v>
      </c>
      <c r="C14" s="38">
        <f>'Data Entry'!C13</f>
        <v>0.5</v>
      </c>
      <c r="D14" s="18"/>
      <c r="E14" s="39" t="s">
        <v>11</v>
      </c>
      <c r="F14" s="40" t="s">
        <v>12</v>
      </c>
      <c r="G14" s="41"/>
      <c r="H14" s="41"/>
      <c r="I14" s="41"/>
      <c r="J14" s="41"/>
      <c r="K14" s="41"/>
      <c r="L14" s="41"/>
      <c r="M14" s="112"/>
    </row>
    <row r="15" spans="1:13" ht="13.5">
      <c r="A15" s="16"/>
      <c r="B15" s="43" t="s">
        <v>28</v>
      </c>
      <c r="C15" s="34"/>
      <c r="D15" s="18"/>
      <c r="E15" s="195">
        <f>IF((E19-4*$C$12)&lt;0,0,(E19-4*$C$12))</f>
        <v>60</v>
      </c>
      <c r="F15" s="128">
        <f>IF((((-0.0005*(E15+$C$16)^2+0.2317*(E15+$C$16))-(-0.0005*($C$16)^2+0.2317*($C$16)))-((-0.0005*((E15-$C$12)+$C$16)^2+0.2317*((E15-$C$12)+$C$16))-(-0.0005*($C$16)^2+0.2317*($C$16))))&lt;0,0,((-0.0005*(E15+$C$16)^2+0.2317*(E15+$C$16))-(-0.0005*($C$16)^2+0.2317*($C$16))-((-0.0005*((E15-$C$12)+$C$16)^2+0.2317*((E15-$C$12)+$C$16))-(-0.0005*($C$16)^2+0.2317*($C$16)))))</f>
        <v>1.4669999999999987</v>
      </c>
      <c r="G15" s="119">
        <f aca="true" t="shared" si="0" ref="G15:M23">($F15*G$10)/($C$12*$C$11)</f>
        <v>3.092924999999997</v>
      </c>
      <c r="H15" s="119">
        <f t="shared" si="0"/>
        <v>3.216641999999997</v>
      </c>
      <c r="I15" s="119">
        <f t="shared" si="0"/>
        <v>3.3403589999999967</v>
      </c>
      <c r="J15" s="119">
        <f t="shared" si="0"/>
        <v>3.464075999999997</v>
      </c>
      <c r="K15" s="119">
        <f t="shared" si="0"/>
        <v>3.587792999999997</v>
      </c>
      <c r="L15" s="119">
        <f t="shared" si="0"/>
        <v>3.7115099999999965</v>
      </c>
      <c r="M15" s="126">
        <f t="shared" si="0"/>
        <v>3.8352269999999966</v>
      </c>
    </row>
    <row r="16" spans="1:13" ht="13.5">
      <c r="A16" s="16"/>
      <c r="B16" s="37" t="s">
        <v>29</v>
      </c>
      <c r="C16" s="45">
        <f>'Data Entry'!C15</f>
        <v>30</v>
      </c>
      <c r="D16" s="18"/>
      <c r="E16" s="195">
        <f>IF((E20-4*$C$12)&lt;0,0,(E20-4*$C$12))</f>
        <v>70</v>
      </c>
      <c r="F16" s="128">
        <f aca="true" t="shared" si="1" ref="F16:F23">IF((((-0.0005*(E16+$C$16)^2+0.2317*(E16+$C$16))-(-0.0005*($C$16)^2+0.2317*($C$16)))-((-0.0005*((E16-$C$12)+$C$16)^2+0.2317*((E16-$C$12)+$C$16))-(-0.0005*($C$16)^2+0.2317*($C$16))))&lt;0,0,((-0.0005*(E16+$C$16)^2+0.2317*(E16+$C$16))-(-0.0005*($C$16)^2+0.2317*($C$16))-((-0.0005*((E16-$C$12)+$C$16)^2+0.2317*((E16-$C$12)+$C$16))-(-0.0005*($C$16)^2+0.2317*($C$16)))))</f>
        <v>1.3670000000000009</v>
      </c>
      <c r="G16" s="119">
        <f t="shared" si="0"/>
        <v>2.8820916666666685</v>
      </c>
      <c r="H16" s="119">
        <f t="shared" si="0"/>
        <v>2.997375333333335</v>
      </c>
      <c r="I16" s="119">
        <f t="shared" si="0"/>
        <v>3.1126590000000016</v>
      </c>
      <c r="J16" s="119">
        <f t="shared" si="0"/>
        <v>3.2279426666666686</v>
      </c>
      <c r="K16" s="119">
        <f t="shared" si="0"/>
        <v>3.3432263333333356</v>
      </c>
      <c r="L16" s="119">
        <f t="shared" si="0"/>
        <v>3.458510000000002</v>
      </c>
      <c r="M16" s="126">
        <f t="shared" si="0"/>
        <v>3.5737936666666683</v>
      </c>
    </row>
    <row r="17" spans="1:13" ht="13.5">
      <c r="A17" s="16"/>
      <c r="B17" s="43" t="s">
        <v>30</v>
      </c>
      <c r="C17" s="46"/>
      <c r="D17" s="18"/>
      <c r="E17" s="195">
        <f>IF((E21-4*$C$12)&lt;0,0,(E21-4*$C$12))</f>
        <v>80</v>
      </c>
      <c r="F17" s="128">
        <f t="shared" si="1"/>
        <v>1.2669999999999995</v>
      </c>
      <c r="G17" s="119">
        <f t="shared" si="0"/>
        <v>2.671258333333332</v>
      </c>
      <c r="H17" s="119">
        <f t="shared" si="0"/>
        <v>2.7781086666666654</v>
      </c>
      <c r="I17" s="119">
        <f t="shared" si="0"/>
        <v>2.884958999999999</v>
      </c>
      <c r="J17" s="119">
        <f t="shared" si="0"/>
        <v>2.991809333333332</v>
      </c>
      <c r="K17" s="119">
        <f t="shared" si="0"/>
        <v>3.098659666666665</v>
      </c>
      <c r="L17" s="119">
        <f t="shared" si="0"/>
        <v>3.2055099999999985</v>
      </c>
      <c r="M17" s="126">
        <f t="shared" si="0"/>
        <v>3.312360333333332</v>
      </c>
    </row>
    <row r="18" spans="1:13" ht="14.25" thickBot="1">
      <c r="A18" s="16"/>
      <c r="B18" s="17"/>
      <c r="C18" s="18"/>
      <c r="D18" s="18"/>
      <c r="E18" s="198">
        <f>IF((E22-4*$C$12)&lt;0,0,(E22-4*$C$12))</f>
        <v>90</v>
      </c>
      <c r="F18" s="128">
        <f t="shared" si="1"/>
        <v>1.1670000000000016</v>
      </c>
      <c r="G18" s="119">
        <f t="shared" si="0"/>
        <v>2.460425000000003</v>
      </c>
      <c r="H18" s="119">
        <f t="shared" si="0"/>
        <v>2.5588420000000034</v>
      </c>
      <c r="I18" s="119">
        <f t="shared" si="0"/>
        <v>2.6572590000000034</v>
      </c>
      <c r="J18" s="119">
        <f t="shared" si="0"/>
        <v>2.755676000000004</v>
      </c>
      <c r="K18" s="119">
        <f t="shared" si="0"/>
        <v>2.8540930000000038</v>
      </c>
      <c r="L18" s="119">
        <f t="shared" si="0"/>
        <v>2.9525100000000037</v>
      </c>
      <c r="M18" s="126">
        <f t="shared" si="0"/>
        <v>3.050927000000004</v>
      </c>
    </row>
    <row r="19" spans="1:13" ht="14.25" thickBot="1">
      <c r="A19" s="16"/>
      <c r="B19" s="54"/>
      <c r="C19" s="48"/>
      <c r="D19" s="49" t="s">
        <v>13</v>
      </c>
      <c r="E19" s="50">
        <f>'Data Entry'!F12</f>
        <v>100</v>
      </c>
      <c r="F19" s="197">
        <f t="shared" si="1"/>
        <v>1.0670000000000002</v>
      </c>
      <c r="G19" s="119">
        <f t="shared" si="0"/>
        <v>2.249591666666667</v>
      </c>
      <c r="H19" s="119">
        <f t="shared" si="0"/>
        <v>2.3395753333333333</v>
      </c>
      <c r="I19" s="119">
        <f t="shared" si="0"/>
        <v>2.4295590000000002</v>
      </c>
      <c r="J19" s="119">
        <f t="shared" si="0"/>
        <v>2.5195426666666667</v>
      </c>
      <c r="K19" s="119">
        <f t="shared" si="0"/>
        <v>2.6095263333333336</v>
      </c>
      <c r="L19" s="119">
        <f t="shared" si="0"/>
        <v>2.69951</v>
      </c>
      <c r="M19" s="126">
        <f t="shared" si="0"/>
        <v>2.789493666666667</v>
      </c>
    </row>
    <row r="20" spans="1:13" ht="13.5">
      <c r="A20" s="16"/>
      <c r="B20" s="17"/>
      <c r="C20" s="18"/>
      <c r="D20" s="18"/>
      <c r="E20" s="199">
        <f>E19+C12</f>
        <v>110</v>
      </c>
      <c r="F20" s="128">
        <f t="shared" si="1"/>
        <v>0.9669999999999934</v>
      </c>
      <c r="G20" s="119">
        <f t="shared" si="0"/>
        <v>2.0387583333333192</v>
      </c>
      <c r="H20" s="119">
        <f t="shared" si="0"/>
        <v>2.120308666666652</v>
      </c>
      <c r="I20" s="119">
        <f t="shared" si="0"/>
        <v>2.201858999999985</v>
      </c>
      <c r="J20" s="119">
        <f t="shared" si="0"/>
        <v>2.2834093333333176</v>
      </c>
      <c r="K20" s="119">
        <f t="shared" si="0"/>
        <v>2.36495966666665</v>
      </c>
      <c r="L20" s="119">
        <f t="shared" si="0"/>
        <v>2.446509999999983</v>
      </c>
      <c r="M20" s="126">
        <f t="shared" si="0"/>
        <v>2.528060333333316</v>
      </c>
    </row>
    <row r="21" spans="1:13" ht="13.5">
      <c r="A21" s="16"/>
      <c r="B21" s="17"/>
      <c r="C21" s="18"/>
      <c r="D21" s="18"/>
      <c r="E21" s="195">
        <f>E19+2*C12</f>
        <v>120</v>
      </c>
      <c r="F21" s="128">
        <f t="shared" si="1"/>
        <v>0.8670000000000044</v>
      </c>
      <c r="G21" s="119">
        <f t="shared" si="0"/>
        <v>1.8279250000000091</v>
      </c>
      <c r="H21" s="119">
        <f t="shared" si="0"/>
        <v>1.9010420000000097</v>
      </c>
      <c r="I21" s="119">
        <f t="shared" si="0"/>
        <v>1.97415900000001</v>
      </c>
      <c r="J21" s="119">
        <f t="shared" si="0"/>
        <v>2.0472760000000103</v>
      </c>
      <c r="K21" s="119">
        <f t="shared" si="0"/>
        <v>2.1203930000000106</v>
      </c>
      <c r="L21" s="119">
        <f t="shared" si="0"/>
        <v>2.193510000000011</v>
      </c>
      <c r="M21" s="126">
        <f t="shared" si="0"/>
        <v>2.2666270000000113</v>
      </c>
    </row>
    <row r="22" spans="1:13" ht="13.5">
      <c r="A22" s="16"/>
      <c r="B22" s="17"/>
      <c r="C22" s="18"/>
      <c r="D22" s="18"/>
      <c r="E22" s="195">
        <f>E19+3*C12</f>
        <v>130</v>
      </c>
      <c r="F22" s="128">
        <f t="shared" si="1"/>
        <v>0.7669999999999959</v>
      </c>
      <c r="G22" s="119">
        <f t="shared" si="0"/>
        <v>1.617091666666658</v>
      </c>
      <c r="H22" s="119">
        <f t="shared" si="0"/>
        <v>1.6817753333333243</v>
      </c>
      <c r="I22" s="119">
        <f t="shared" si="0"/>
        <v>1.7464589999999907</v>
      </c>
      <c r="J22" s="119">
        <f t="shared" si="0"/>
        <v>1.8111426666666568</v>
      </c>
      <c r="K22" s="119">
        <f t="shared" si="0"/>
        <v>1.8758263333333232</v>
      </c>
      <c r="L22" s="119">
        <f t="shared" si="0"/>
        <v>1.9405099999999895</v>
      </c>
      <c r="M22" s="126">
        <f t="shared" si="0"/>
        <v>2.005193666666656</v>
      </c>
    </row>
    <row r="23" spans="1:13" ht="13.5">
      <c r="A23" s="16"/>
      <c r="B23" s="17"/>
      <c r="C23" s="18"/>
      <c r="D23" s="18"/>
      <c r="E23" s="195">
        <f>E19+4*C12</f>
        <v>140</v>
      </c>
      <c r="F23" s="128">
        <f t="shared" si="1"/>
        <v>0.6670000000000016</v>
      </c>
      <c r="G23" s="119">
        <f t="shared" si="0"/>
        <v>1.4062583333333365</v>
      </c>
      <c r="H23" s="119">
        <f t="shared" si="0"/>
        <v>1.46250866666667</v>
      </c>
      <c r="I23" s="119">
        <f t="shared" si="0"/>
        <v>1.5187590000000035</v>
      </c>
      <c r="J23" s="119">
        <f t="shared" si="0"/>
        <v>1.575009333333337</v>
      </c>
      <c r="K23" s="119">
        <f t="shared" si="0"/>
        <v>1.6312596666666705</v>
      </c>
      <c r="L23" s="119">
        <f t="shared" si="0"/>
        <v>1.6875100000000038</v>
      </c>
      <c r="M23" s="126">
        <f t="shared" si="0"/>
        <v>1.7437603333333374</v>
      </c>
    </row>
    <row r="24" spans="1:13" ht="13.5" customHeight="1">
      <c r="A24" s="16"/>
      <c r="B24" s="17"/>
      <c r="C24" s="18"/>
      <c r="D24" s="18"/>
      <c r="E24" s="78" t="s">
        <v>90</v>
      </c>
      <c r="F24" s="122"/>
      <c r="G24" s="122"/>
      <c r="H24" s="122"/>
      <c r="I24" s="12"/>
      <c r="J24" s="80"/>
      <c r="K24" s="200">
        <f>C12</f>
        <v>10</v>
      </c>
      <c r="L24" s="77" t="s">
        <v>30</v>
      </c>
      <c r="M24" s="123"/>
    </row>
    <row r="25" spans="1:13" ht="9.75" customHeight="1">
      <c r="A25" s="16"/>
      <c r="B25" s="17"/>
      <c r="C25" s="18"/>
      <c r="D25" s="18"/>
      <c r="E25" s="78" t="s">
        <v>114</v>
      </c>
      <c r="F25" s="122"/>
      <c r="G25" s="122"/>
      <c r="H25" s="122"/>
      <c r="I25" s="12"/>
      <c r="J25" s="80"/>
      <c r="K25" s="80"/>
      <c r="L25" s="80"/>
      <c r="M25" s="123"/>
    </row>
    <row r="26" spans="1:13" ht="9.75" customHeight="1">
      <c r="A26" s="16"/>
      <c r="B26" s="17"/>
      <c r="C26" s="18"/>
      <c r="D26" s="18"/>
      <c r="E26" s="79" t="s">
        <v>102</v>
      </c>
      <c r="F26" s="12"/>
      <c r="G26" s="122"/>
      <c r="H26" s="122"/>
      <c r="I26" s="122"/>
      <c r="J26" s="122"/>
      <c r="K26" s="122"/>
      <c r="L26" s="122"/>
      <c r="M26" s="123"/>
    </row>
    <row r="27" spans="1:13" ht="9.75" customHeight="1" thickBot="1">
      <c r="A27" s="16"/>
      <c r="B27" s="17"/>
      <c r="C27" s="18"/>
      <c r="D27" s="18"/>
      <c r="E27" s="125"/>
      <c r="F27" s="124"/>
      <c r="G27" s="124"/>
      <c r="H27" s="124"/>
      <c r="I27" s="154"/>
      <c r="J27" s="120"/>
      <c r="K27" s="120"/>
      <c r="L27" s="120"/>
      <c r="M27" s="121"/>
    </row>
    <row r="28" spans="2:13" ht="11.25" customHeight="1" thickBot="1">
      <c r="B28" s="224"/>
      <c r="C28" s="225"/>
      <c r="D28" s="225"/>
      <c r="E28" s="225"/>
      <c r="F28" s="225"/>
      <c r="G28" s="225"/>
      <c r="H28" s="225"/>
      <c r="I28" s="225"/>
      <c r="J28" s="55"/>
      <c r="K28" s="55"/>
      <c r="L28" s="55"/>
      <c r="M28" s="56"/>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sheetData>
  <sheetProtection/>
  <mergeCells count="8">
    <mergeCell ref="G13:M13"/>
    <mergeCell ref="B28:I28"/>
    <mergeCell ref="B2:M2"/>
    <mergeCell ref="B3:M3"/>
    <mergeCell ref="B5:D5"/>
    <mergeCell ref="B7:C7"/>
    <mergeCell ref="H8:L8"/>
    <mergeCell ref="G12:M12"/>
  </mergeCells>
  <conditionalFormatting sqref="G16:M23">
    <cfRule type="cellIs" priority="1" dxfId="2" operator="between" stopIfTrue="1">
      <formula>1.45</formula>
      <formula>1.55</formula>
    </cfRule>
    <cfRule type="cellIs" priority="2" dxfId="0" operator="between" stopIfTrue="1">
      <formula>1.35</formula>
      <formula>1.45</formula>
    </cfRule>
    <cfRule type="cellIs" priority="3" dxfId="0" operator="between" stopIfTrue="1">
      <formula>1.55</formula>
      <formula>1.65</formula>
    </cfRule>
  </conditionalFormatting>
  <hyperlinks>
    <hyperlink ref="N2" location="'Canola (hybrid) Crop'!A1" display="Return to Canola (hybrid) as variable"/>
    <hyperlink ref="N3" location="'Canola (hybrid) Fertilizer'!A1" display="Go to Fertilizer as variable"/>
    <hyperlink ref="N5" location="'Data Entry'!A1" display="Return to Data Entry"/>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V30"/>
  <sheetViews>
    <sheetView showGridLines="0" zoomScalePageLayoutView="0" workbookViewId="0" topLeftCell="A1">
      <selection activeCell="N5" sqref="N5"/>
    </sheetView>
  </sheetViews>
  <sheetFormatPr defaultColWidth="9.140625" defaultRowHeight="12.75"/>
  <cols>
    <col min="1" max="1" width="1.57421875" style="10" customWidth="1"/>
    <col min="2" max="2" width="17.140625" style="10" customWidth="1"/>
    <col min="3" max="3" width="9.140625" style="10" customWidth="1"/>
    <col min="4" max="4" width="11.140625" style="10" customWidth="1"/>
    <col min="5" max="5" width="9.140625" style="10" customWidth="1"/>
    <col min="6" max="6" width="13.57421875" style="10" customWidth="1"/>
    <col min="7" max="13" width="9.140625" style="10" customWidth="1"/>
    <col min="14" max="14" width="29.57421875" style="10" customWidth="1"/>
    <col min="15" max="15" width="10.28125" style="10" customWidth="1"/>
    <col min="16"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7" t="s">
        <v>79</v>
      </c>
    </row>
    <row r="3" spans="1:14" ht="21">
      <c r="A3" s="11"/>
      <c r="B3" s="256" t="s">
        <v>47</v>
      </c>
      <c r="C3" s="257"/>
      <c r="D3" s="257"/>
      <c r="E3" s="257"/>
      <c r="F3" s="257"/>
      <c r="G3" s="257"/>
      <c r="H3" s="257"/>
      <c r="I3" s="257"/>
      <c r="J3" s="257"/>
      <c r="K3" s="257"/>
      <c r="L3" s="257"/>
      <c r="M3" s="258"/>
      <c r="N3" s="167" t="s">
        <v>69</v>
      </c>
    </row>
    <row r="4" spans="1:14" ht="6.75" customHeight="1">
      <c r="A4" s="11"/>
      <c r="B4" s="13"/>
      <c r="C4" s="14"/>
      <c r="D4" s="14"/>
      <c r="E4" s="14"/>
      <c r="F4" s="14"/>
      <c r="G4" s="14"/>
      <c r="H4" s="14"/>
      <c r="I4" s="14"/>
      <c r="J4" s="12"/>
      <c r="K4" s="12"/>
      <c r="L4" s="12"/>
      <c r="M4" s="15"/>
      <c r="N4" s="168"/>
    </row>
    <row r="5" spans="2:14" ht="12.75">
      <c r="B5" s="259"/>
      <c r="C5" s="260"/>
      <c r="D5" s="260"/>
      <c r="E5" s="261"/>
      <c r="H5" s="12"/>
      <c r="I5" s="12"/>
      <c r="J5" s="12"/>
      <c r="K5" s="12"/>
      <c r="L5" s="12"/>
      <c r="M5" s="15"/>
      <c r="N5" s="161" t="s">
        <v>100</v>
      </c>
    </row>
    <row r="6" spans="1:14" ht="4.5" customHeight="1" thickBot="1">
      <c r="A6" s="16"/>
      <c r="B6" s="17"/>
      <c r="C6" s="18"/>
      <c r="D6" s="18"/>
      <c r="E6" s="18"/>
      <c r="F6" s="18"/>
      <c r="G6" s="18"/>
      <c r="H6" s="18"/>
      <c r="I6" s="18"/>
      <c r="J6" s="12"/>
      <c r="K6" s="12"/>
      <c r="L6" s="12"/>
      <c r="M6" s="15"/>
      <c r="N6" s="168"/>
    </row>
    <row r="7" spans="1:14" ht="15.75" customHeight="1" thickBot="1">
      <c r="A7" s="16"/>
      <c r="B7" s="238" t="s">
        <v>61</v>
      </c>
      <c r="C7" s="239"/>
      <c r="E7" s="18"/>
      <c r="F7" s="18"/>
      <c r="G7" s="18"/>
      <c r="H7" s="19"/>
      <c r="I7" s="18"/>
      <c r="J7" s="19"/>
      <c r="K7" s="12"/>
      <c r="L7" s="12"/>
      <c r="M7" s="15"/>
      <c r="N7" s="12"/>
    </row>
    <row r="8" spans="1:14" ht="15" customHeight="1">
      <c r="A8" s="16"/>
      <c r="B8" s="87" t="s">
        <v>58</v>
      </c>
      <c r="C8" s="21" t="s">
        <v>59</v>
      </c>
      <c r="D8" s="18"/>
      <c r="E8" s="62"/>
      <c r="F8" s="63"/>
      <c r="G8" s="63"/>
      <c r="H8" s="230" t="s">
        <v>63</v>
      </c>
      <c r="I8" s="231"/>
      <c r="J8" s="231"/>
      <c r="K8" s="231"/>
      <c r="L8" s="231"/>
      <c r="M8" s="64"/>
      <c r="N8" s="12"/>
    </row>
    <row r="9" spans="1:14" ht="13.5">
      <c r="A9" s="16"/>
      <c r="B9" s="20" t="s">
        <v>60</v>
      </c>
      <c r="C9" s="83">
        <f>'Data Entry'!F14</f>
        <v>5</v>
      </c>
      <c r="D9" s="18"/>
      <c r="E9" s="65"/>
      <c r="F9" s="66"/>
      <c r="M9" s="15"/>
      <c r="N9" s="12"/>
    </row>
    <row r="10" spans="1:14" ht="13.5">
      <c r="A10" s="16"/>
      <c r="B10" s="30" t="s">
        <v>20</v>
      </c>
      <c r="C10" s="106">
        <f>'Data Entry'!C11</f>
        <v>10</v>
      </c>
      <c r="D10" s="18"/>
      <c r="E10" s="65"/>
      <c r="F10" s="66"/>
      <c r="G10" s="108">
        <f>H10-$C$12</f>
        <v>450</v>
      </c>
      <c r="H10" s="108">
        <f>I10-$C$12</f>
        <v>500</v>
      </c>
      <c r="I10" s="108">
        <f>J10-$C$12</f>
        <v>550</v>
      </c>
      <c r="J10" s="109">
        <f>'Data Entry'!C8</f>
        <v>600</v>
      </c>
      <c r="K10" s="108">
        <f>J10+$C$12</f>
        <v>650</v>
      </c>
      <c r="L10" s="108">
        <f>K10+$C$12</f>
        <v>700</v>
      </c>
      <c r="M10" s="110">
        <f>L10+$C$12</f>
        <v>750</v>
      </c>
      <c r="N10" s="12"/>
    </row>
    <row r="11" spans="1:14" ht="13.5">
      <c r="A11" s="16"/>
      <c r="B11" s="33" t="s">
        <v>113</v>
      </c>
      <c r="C11" s="46"/>
      <c r="D11" s="18"/>
      <c r="E11" s="65"/>
      <c r="F11" s="70" t="s">
        <v>6</v>
      </c>
      <c r="G11" s="66"/>
      <c r="H11" s="66"/>
      <c r="I11" s="66"/>
      <c r="J11" s="68"/>
      <c r="K11" s="68"/>
      <c r="L11" s="68"/>
      <c r="M11" s="69"/>
      <c r="N11" s="12"/>
    </row>
    <row r="12" spans="1:14" ht="13.5">
      <c r="A12" s="16"/>
      <c r="B12" s="37" t="s">
        <v>56</v>
      </c>
      <c r="C12" s="118">
        <f>'Data Entry'!C17</f>
        <v>50</v>
      </c>
      <c r="D12" s="18"/>
      <c r="E12" s="71"/>
      <c r="F12" s="70" t="s">
        <v>7</v>
      </c>
      <c r="G12" s="226" t="s">
        <v>8</v>
      </c>
      <c r="H12" s="226"/>
      <c r="I12" s="226"/>
      <c r="J12" s="226"/>
      <c r="K12" s="226"/>
      <c r="L12" s="226"/>
      <c r="M12" s="227"/>
      <c r="N12" s="12"/>
    </row>
    <row r="13" spans="1:14" ht="14.25" thickBot="1">
      <c r="A13" s="16"/>
      <c r="B13" s="43" t="s">
        <v>28</v>
      </c>
      <c r="C13" s="46"/>
      <c r="D13" s="18"/>
      <c r="E13" s="72" t="s">
        <v>9</v>
      </c>
      <c r="F13" s="73" t="s">
        <v>10</v>
      </c>
      <c r="G13" s="228" t="s">
        <v>18</v>
      </c>
      <c r="H13" s="228"/>
      <c r="I13" s="228"/>
      <c r="J13" s="228"/>
      <c r="K13" s="228"/>
      <c r="L13" s="228"/>
      <c r="M13" s="229"/>
      <c r="N13" s="12"/>
    </row>
    <row r="14" spans="1:22" ht="13.5">
      <c r="A14" s="16"/>
      <c r="B14" s="37" t="s">
        <v>29</v>
      </c>
      <c r="C14" s="107">
        <f>'Data Entry'!C15</f>
        <v>30</v>
      </c>
      <c r="D14" s="18"/>
      <c r="E14" s="84" t="s">
        <v>11</v>
      </c>
      <c r="F14" s="85" t="s">
        <v>12</v>
      </c>
      <c r="G14" s="111">
        <f>'Data Entry'!$F$14/(G$10/(('Data Entry'!$C$9/100)*2200))</f>
        <v>11.244444444444445</v>
      </c>
      <c r="H14" s="111">
        <f>'Data Entry'!$F$14/(H$10/(('Data Entry'!$C$9/100)*2200))</f>
        <v>10.120000000000001</v>
      </c>
      <c r="I14" s="111">
        <f>'Data Entry'!$F$14/(I$10/(('Data Entry'!$C$9/100)*2200))</f>
        <v>9.200000000000001</v>
      </c>
      <c r="J14" s="111">
        <f>'Data Entry'!$F$14/(J$10/(('Data Entry'!$C$9/100)*2200))</f>
        <v>8.433333333333334</v>
      </c>
      <c r="K14" s="111">
        <f>'Data Entry'!$F$14/(K$10/(('Data Entry'!$C$9/100)*2200))</f>
        <v>7.784615384615385</v>
      </c>
      <c r="L14" s="111">
        <f>'Data Entry'!$F$14/(L$10/(('Data Entry'!$C$9/100)*2200))</f>
        <v>7.228571428571429</v>
      </c>
      <c r="M14" s="112">
        <f>'Data Entry'!$F$14/(M$10/(('Data Entry'!$C$9/100)*2200))</f>
        <v>6.746666666666666</v>
      </c>
      <c r="N14"/>
      <c r="O14"/>
      <c r="P14"/>
      <c r="Q14"/>
      <c r="R14"/>
      <c r="S14"/>
      <c r="T14"/>
      <c r="U14"/>
      <c r="V14"/>
    </row>
    <row r="15" spans="1:22" ht="13.5">
      <c r="A15" s="16"/>
      <c r="B15" s="43" t="s">
        <v>30</v>
      </c>
      <c r="C15" s="46"/>
      <c r="D15" s="18"/>
      <c r="E15" s="195">
        <f>IF((E19-4*$C$10)&lt;0,0,(E19-4*$C$10))</f>
        <v>50</v>
      </c>
      <c r="F15" s="128">
        <f aca="true" t="shared" si="0" ref="F15:F23">IF(((-0.0015*(E15+$C$14)^2+0.4902*(E15+$C$14))-(-0.0015*($C$14)^2+0.4902*($C$14)))&lt;0,0,(-0.0015*(E15+$C$14)^2+0.4902*(E15+$C$14))-(-0.0015*($C$14)^2+0.4902*($C$14)))</f>
        <v>16.259999999999998</v>
      </c>
      <c r="G15" s="137">
        <f>('Data Entry'!$F$14*$F15)-(G$10/(('Data Entry'!$C$9/100)*2200))*($E15)</f>
        <v>59.06679841897231</v>
      </c>
      <c r="H15" s="137">
        <f>('Data Entry'!$F$14*$F15)-(H$10/(('Data Entry'!$C$9/100)*2200))*($E15)</f>
        <v>56.596442687747015</v>
      </c>
      <c r="I15" s="137">
        <f>('Data Entry'!$F$14*$F15)-(I$10/(('Data Entry'!$C$9/100)*2200))*($E15)</f>
        <v>54.126086956521725</v>
      </c>
      <c r="J15" s="137">
        <f>('Data Entry'!$F$14*$F15)-(J$10/(('Data Entry'!$C$9/100)*2200))*($E15)</f>
        <v>51.65573122529642</v>
      </c>
      <c r="K15" s="137">
        <f>('Data Entry'!$F$14*$F15)-(K$10/(('Data Entry'!$C$9/100)*2200))*($E15)</f>
        <v>49.18537549407113</v>
      </c>
      <c r="L15" s="137">
        <f>('Data Entry'!$F$14*$F15)-(L$10/(('Data Entry'!$C$9/100)*2200))*($E15)</f>
        <v>46.715019762845834</v>
      </c>
      <c r="M15" s="138">
        <f>('Data Entry'!$F$14*$F15)-(M$10/(('Data Entry'!$C$9/100)*2200))*($E15)</f>
        <v>44.24466403162053</v>
      </c>
      <c r="N15"/>
      <c r="O15"/>
      <c r="P15"/>
      <c r="Q15"/>
      <c r="R15"/>
      <c r="S15"/>
      <c r="T15"/>
      <c r="U15"/>
      <c r="V15"/>
    </row>
    <row r="16" spans="1:22" ht="13.5">
      <c r="A16" s="16"/>
      <c r="B16" s="86"/>
      <c r="D16" s="18"/>
      <c r="E16" s="195">
        <f>IF((E20-4*$C$10)&lt;0,0,(E20-4*$C$10))</f>
        <v>60</v>
      </c>
      <c r="F16" s="128">
        <f t="shared" si="0"/>
        <v>18.612000000000002</v>
      </c>
      <c r="G16" s="137">
        <f>('Data Entry'!$F$14*$F16)-(G$10/(('Data Entry'!$C$9/100)*2200))*($E16)</f>
        <v>66.3801581027668</v>
      </c>
      <c r="H16" s="137">
        <f>('Data Entry'!$F$14*$F16)-(H$10/(('Data Entry'!$C$9/100)*2200))*($E16)</f>
        <v>63.41573122529645</v>
      </c>
      <c r="I16" s="137">
        <f>('Data Entry'!$F$14*$F16)-(I$10/(('Data Entry'!$C$9/100)*2200))*($E16)</f>
        <v>60.45130434782609</v>
      </c>
      <c r="J16" s="137">
        <f>('Data Entry'!$F$14*$F16)-(J$10/(('Data Entry'!$C$9/100)*2200))*($E16)</f>
        <v>57.48687747035573</v>
      </c>
      <c r="K16" s="137">
        <f>('Data Entry'!$F$14*$F16)-(K$10/(('Data Entry'!$C$9/100)*2200))*($E16)</f>
        <v>54.52245059288538</v>
      </c>
      <c r="L16" s="137">
        <f>('Data Entry'!$F$14*$F16)-(L$10/(('Data Entry'!$C$9/100)*2200))*($E16)</f>
        <v>51.55802371541502</v>
      </c>
      <c r="M16" s="138">
        <f>('Data Entry'!$F$14*$F16)-(M$10/(('Data Entry'!$C$9/100)*2200))*($E16)</f>
        <v>48.593596837944666</v>
      </c>
      <c r="N16"/>
      <c r="O16"/>
      <c r="P16"/>
      <c r="Q16"/>
      <c r="R16"/>
      <c r="S16"/>
      <c r="T16"/>
      <c r="U16"/>
      <c r="V16"/>
    </row>
    <row r="17" spans="1:22" ht="13.5">
      <c r="A17" s="16"/>
      <c r="B17" s="54"/>
      <c r="D17" s="18"/>
      <c r="E17" s="195">
        <f>IF((E21-4*$C$10)&lt;0,0,(E21-4*$C$10))</f>
        <v>70</v>
      </c>
      <c r="F17" s="128">
        <f t="shared" si="0"/>
        <v>20.664</v>
      </c>
      <c r="G17" s="137">
        <f>('Data Entry'!$F$14*$F17)-(G$10/(('Data Entry'!$C$9/100)*2200))*($E17)</f>
        <v>72.19351778656127</v>
      </c>
      <c r="H17" s="137">
        <f>('Data Entry'!$F$14*$F17)-(H$10/(('Data Entry'!$C$9/100)*2200))*($E17)</f>
        <v>68.73501976284587</v>
      </c>
      <c r="I17" s="137">
        <f>('Data Entry'!$F$14*$F17)-(I$10/(('Data Entry'!$C$9/100)*2200))*($E17)</f>
        <v>65.27652173913044</v>
      </c>
      <c r="J17" s="137">
        <f>('Data Entry'!$F$14*$F17)-(J$10/(('Data Entry'!$C$9/100)*2200))*($E17)</f>
        <v>61.81802371541502</v>
      </c>
      <c r="K17" s="137">
        <f>('Data Entry'!$F$14*$F17)-(K$10/(('Data Entry'!$C$9/100)*2200))*($E17)</f>
        <v>58.359525691699616</v>
      </c>
      <c r="L17" s="137">
        <f>('Data Entry'!$F$14*$F17)-(L$10/(('Data Entry'!$C$9/100)*2200))*($E17)</f>
        <v>54.901027667984195</v>
      </c>
      <c r="M17" s="138">
        <f>('Data Entry'!$F$14*$F17)-(M$10/(('Data Entry'!$C$9/100)*2200))*($E17)</f>
        <v>51.44252964426878</v>
      </c>
      <c r="N17"/>
      <c r="O17"/>
      <c r="P17"/>
      <c r="Q17"/>
      <c r="R17"/>
      <c r="S17"/>
      <c r="T17"/>
      <c r="U17"/>
      <c r="V17"/>
    </row>
    <row r="18" spans="1:22" ht="14.25" thickBot="1">
      <c r="A18" s="16"/>
      <c r="B18" s="17"/>
      <c r="C18" s="18"/>
      <c r="D18" s="18"/>
      <c r="E18" s="198">
        <f>IF((E22-4*$C$10)&lt;0,0,(E22-4*$C$10))</f>
        <v>80</v>
      </c>
      <c r="F18" s="128">
        <f t="shared" si="0"/>
        <v>22.416000000000004</v>
      </c>
      <c r="G18" s="137">
        <f>('Data Entry'!$F$14*$F18)-(G$10/(('Data Entry'!$C$9/100)*2200))*($E18)</f>
        <v>76.50687747035575</v>
      </c>
      <c r="H18" s="137">
        <f>('Data Entry'!$F$14*$F18)-(H$10/(('Data Entry'!$C$9/100)*2200))*($E18)</f>
        <v>72.55430830039526</v>
      </c>
      <c r="I18" s="137">
        <f>('Data Entry'!$F$14*$F18)-(I$10/(('Data Entry'!$C$9/100)*2200))*($E18)</f>
        <v>68.6017391304348</v>
      </c>
      <c r="J18" s="137">
        <f>('Data Entry'!$F$14*$F18)-(J$10/(('Data Entry'!$C$9/100)*2200))*($E18)</f>
        <v>64.64916996047432</v>
      </c>
      <c r="K18" s="137">
        <f>('Data Entry'!$F$14*$F18)-(K$10/(('Data Entry'!$C$9/100)*2200))*($E18)</f>
        <v>60.69660079051385</v>
      </c>
      <c r="L18" s="137">
        <f>('Data Entry'!$F$14*$F18)-(L$10/(('Data Entry'!$C$9/100)*2200))*($E18)</f>
        <v>56.74403162055337</v>
      </c>
      <c r="M18" s="138">
        <f>('Data Entry'!$F$14*$F18)-(M$10/(('Data Entry'!$C$9/100)*2200))*($E18)</f>
        <v>52.791462450592896</v>
      </c>
      <c r="N18"/>
      <c r="O18"/>
      <c r="P18"/>
      <c r="Q18"/>
      <c r="R18"/>
      <c r="S18"/>
      <c r="T18"/>
      <c r="U18"/>
      <c r="V18"/>
    </row>
    <row r="19" spans="1:22" ht="14.25" thickBot="1">
      <c r="A19" s="16"/>
      <c r="B19" s="47"/>
      <c r="C19" s="48"/>
      <c r="D19" s="49" t="s">
        <v>13</v>
      </c>
      <c r="E19" s="50">
        <f>'Data Entry'!F9</f>
        <v>90</v>
      </c>
      <c r="F19" s="197">
        <f t="shared" si="0"/>
        <v>23.868000000000002</v>
      </c>
      <c r="G19" s="137">
        <f>('Data Entry'!$F$14*$F19)-(G$10/(('Data Entry'!$C$9/100)*2200))*($E19)</f>
        <v>79.32023715415019</v>
      </c>
      <c r="H19" s="137">
        <f>('Data Entry'!$F$14*$F19)-(H$10/(('Data Entry'!$C$9/100)*2200))*($E19)</f>
        <v>74.87359683794466</v>
      </c>
      <c r="I19" s="137">
        <f>('Data Entry'!$F$14*$F19)-(I$10/(('Data Entry'!$C$9/100)*2200))*($E19)</f>
        <v>70.42695652173913</v>
      </c>
      <c r="J19" s="137">
        <f>('Data Entry'!$F$14*$F19)-(J$10/(('Data Entry'!$C$9/100)*2200))*($E19)</f>
        <v>65.9803162055336</v>
      </c>
      <c r="K19" s="137">
        <f>('Data Entry'!$F$14*$F19)-(K$10/(('Data Entry'!$C$9/100)*2200))*($E19)</f>
        <v>61.53367588932807</v>
      </c>
      <c r="L19" s="137">
        <f>('Data Entry'!$F$14*$F19)-(L$10/(('Data Entry'!$C$9/100)*2200))*($E19)</f>
        <v>57.087035573122535</v>
      </c>
      <c r="M19" s="138">
        <f>('Data Entry'!$F$14*$F19)-(M$10/(('Data Entry'!$C$9/100)*2200))*($E19)</f>
        <v>52.64039525691699</v>
      </c>
      <c r="N19"/>
      <c r="O19"/>
      <c r="P19"/>
      <c r="Q19"/>
      <c r="R19"/>
      <c r="S19"/>
      <c r="T19"/>
      <c r="U19"/>
      <c r="V19"/>
    </row>
    <row r="20" spans="1:22" ht="13.5">
      <c r="A20" s="16"/>
      <c r="B20" s="17"/>
      <c r="C20" s="18"/>
      <c r="D20" s="18"/>
      <c r="E20" s="199">
        <f>E19+C10</f>
        <v>100</v>
      </c>
      <c r="F20" s="128">
        <f t="shared" si="0"/>
        <v>25.020000000000003</v>
      </c>
      <c r="G20" s="137">
        <f>('Data Entry'!$F$14*$F20)-(G$10/(('Data Entry'!$C$9/100)*2200))*($E20)</f>
        <v>80.63359683794468</v>
      </c>
      <c r="H20" s="137">
        <f>('Data Entry'!$F$14*$F20)-(H$10/(('Data Entry'!$C$9/100)*2200))*($E20)</f>
        <v>75.69288537549409</v>
      </c>
      <c r="I20" s="137">
        <f>('Data Entry'!$F$14*$F20)-(I$10/(('Data Entry'!$C$9/100)*2200))*($E20)</f>
        <v>70.7521739130435</v>
      </c>
      <c r="J20" s="137">
        <f>('Data Entry'!$F$14*$F20)-(J$10/(('Data Entry'!$C$9/100)*2200))*($E20)</f>
        <v>65.8114624505929</v>
      </c>
      <c r="K20" s="137">
        <f>('Data Entry'!$F$14*$F20)-(K$10/(('Data Entry'!$C$9/100)*2200))*($E20)</f>
        <v>60.87075098814232</v>
      </c>
      <c r="L20" s="137">
        <f>('Data Entry'!$F$14*$F20)-(L$10/(('Data Entry'!$C$9/100)*2200))*($E20)</f>
        <v>55.930039525691726</v>
      </c>
      <c r="M20" s="138">
        <f>('Data Entry'!$F$14*$F20)-(M$10/(('Data Entry'!$C$9/100)*2200))*($E20)</f>
        <v>50.98932806324112</v>
      </c>
      <c r="N20"/>
      <c r="O20"/>
      <c r="P20"/>
      <c r="Q20"/>
      <c r="R20"/>
      <c r="S20"/>
      <c r="T20"/>
      <c r="U20"/>
      <c r="V20"/>
    </row>
    <row r="21" spans="1:22" ht="13.5">
      <c r="A21" s="16"/>
      <c r="B21" s="17"/>
      <c r="C21" s="52"/>
      <c r="D21" s="18"/>
      <c r="E21" s="195">
        <f>E19+2*C10</f>
        <v>110</v>
      </c>
      <c r="F21" s="128">
        <f t="shared" si="0"/>
        <v>25.871999999999993</v>
      </c>
      <c r="G21" s="137">
        <f>('Data Entry'!$F$14*$F21)-(G$10/(('Data Entry'!$C$9/100)*2200))*($E21)</f>
        <v>80.44695652173908</v>
      </c>
      <c r="H21" s="137">
        <f>('Data Entry'!$F$14*$F21)-(H$10/(('Data Entry'!$C$9/100)*2200))*($E21)</f>
        <v>75.01217391304344</v>
      </c>
      <c r="I21" s="137">
        <f>('Data Entry'!$F$14*$F21)-(I$10/(('Data Entry'!$C$9/100)*2200))*($E21)</f>
        <v>69.57739130434778</v>
      </c>
      <c r="J21" s="137">
        <f>('Data Entry'!$F$14*$F21)-(J$10/(('Data Entry'!$C$9/100)*2200))*($E21)</f>
        <v>64.14260869565213</v>
      </c>
      <c r="K21" s="137">
        <f>('Data Entry'!$F$14*$F21)-(K$10/(('Data Entry'!$C$9/100)*2200))*($E21)</f>
        <v>58.70782608695649</v>
      </c>
      <c r="L21" s="137">
        <f>('Data Entry'!$F$14*$F21)-(L$10/(('Data Entry'!$C$9/100)*2200))*($E21)</f>
        <v>53.27304347826083</v>
      </c>
      <c r="M21" s="138">
        <f>('Data Entry'!$F$14*$F21)-(M$10/(('Data Entry'!$C$9/100)*2200))*($E21)</f>
        <v>47.838260869565175</v>
      </c>
      <c r="N21"/>
      <c r="O21"/>
      <c r="P21"/>
      <c r="Q21"/>
      <c r="R21"/>
      <c r="S21"/>
      <c r="T21"/>
      <c r="U21"/>
      <c r="V21"/>
    </row>
    <row r="22" spans="1:22" ht="13.5">
      <c r="A22" s="16"/>
      <c r="B22" s="17"/>
      <c r="C22" s="18"/>
      <c r="D22" s="18"/>
      <c r="E22" s="195">
        <f>E19+3*C10</f>
        <v>120</v>
      </c>
      <c r="F22" s="128">
        <f t="shared" si="0"/>
        <v>26.424</v>
      </c>
      <c r="G22" s="137">
        <f>('Data Entry'!$F$14*$F22)-(G$10/(('Data Entry'!$C$9/100)*2200))*($E22)</f>
        <v>78.7603162055336</v>
      </c>
      <c r="H22" s="137">
        <f>('Data Entry'!$F$14*$F22)-(H$10/(('Data Entry'!$C$9/100)*2200))*($E22)</f>
        <v>72.8314624505929</v>
      </c>
      <c r="I22" s="137">
        <f>('Data Entry'!$F$14*$F22)-(I$10/(('Data Entry'!$C$9/100)*2200))*($E22)</f>
        <v>66.90260869565218</v>
      </c>
      <c r="J22" s="137">
        <f>('Data Entry'!$F$14*$F22)-(J$10/(('Data Entry'!$C$9/100)*2200))*($E22)</f>
        <v>60.97375494071146</v>
      </c>
      <c r="K22" s="137">
        <f>('Data Entry'!$F$14*$F22)-(K$10/(('Data Entry'!$C$9/100)*2200))*($E22)</f>
        <v>55.044901185770755</v>
      </c>
      <c r="L22" s="137">
        <f>('Data Entry'!$F$14*$F22)-(L$10/(('Data Entry'!$C$9/100)*2200))*($E22)</f>
        <v>49.11604743083004</v>
      </c>
      <c r="M22" s="138">
        <f>('Data Entry'!$F$14*$F22)-(M$10/(('Data Entry'!$C$9/100)*2200))*($E22)</f>
        <v>43.18719367588933</v>
      </c>
      <c r="N22"/>
      <c r="O22"/>
      <c r="P22"/>
      <c r="Q22"/>
      <c r="R22"/>
      <c r="S22"/>
      <c r="T22"/>
      <c r="U22"/>
      <c r="V22"/>
    </row>
    <row r="23" spans="1:22" ht="13.5">
      <c r="A23" s="16"/>
      <c r="B23" s="17"/>
      <c r="C23" s="18"/>
      <c r="D23" s="18"/>
      <c r="E23" s="195">
        <f>E19+4*C10</f>
        <v>130</v>
      </c>
      <c r="F23" s="128">
        <f t="shared" si="0"/>
        <v>26.676000000000002</v>
      </c>
      <c r="G23" s="137">
        <f>('Data Entry'!$F$14*$F23)-(G$10/(('Data Entry'!$C$9/100)*2200))*($E23)</f>
        <v>75.57367588932806</v>
      </c>
      <c r="H23" s="137">
        <f>('Data Entry'!$F$14*$F23)-(H$10/(('Data Entry'!$C$9/100)*2200))*($E23)</f>
        <v>69.15075098814229</v>
      </c>
      <c r="I23" s="137">
        <f>('Data Entry'!$F$14*$F23)-(I$10/(('Data Entry'!$C$9/100)*2200))*($E23)</f>
        <v>62.727826086956526</v>
      </c>
      <c r="J23" s="137">
        <f>('Data Entry'!$F$14*$F23)-(J$10/(('Data Entry'!$C$9/100)*2200))*($E23)</f>
        <v>56.304901185770746</v>
      </c>
      <c r="K23" s="137">
        <f>('Data Entry'!$F$14*$F23)-(K$10/(('Data Entry'!$C$9/100)*2200))*($E23)</f>
        <v>49.88197628458498</v>
      </c>
      <c r="L23" s="137">
        <f>('Data Entry'!$F$14*$F23)-(L$10/(('Data Entry'!$C$9/100)*2200))*($E23)</f>
        <v>43.4590513833992</v>
      </c>
      <c r="M23" s="138">
        <f>('Data Entry'!$F$14*$F23)-(M$10/(('Data Entry'!$C$9/100)*2200))*($E23)</f>
        <v>37.03612648221343</v>
      </c>
      <c r="N23"/>
      <c r="O23"/>
      <c r="P23"/>
      <c r="Q23"/>
      <c r="R23"/>
      <c r="S23"/>
      <c r="T23"/>
      <c r="U23"/>
      <c r="V23"/>
    </row>
    <row r="24" spans="1:22" ht="11.25" customHeight="1">
      <c r="A24" s="16"/>
      <c r="B24" s="17"/>
      <c r="C24" s="18"/>
      <c r="D24" s="18"/>
      <c r="E24" s="235" t="s">
        <v>50</v>
      </c>
      <c r="F24" s="236"/>
      <c r="G24" s="233"/>
      <c r="H24" s="233"/>
      <c r="I24" s="233"/>
      <c r="J24" s="233"/>
      <c r="K24" s="233"/>
      <c r="L24" s="233"/>
      <c r="M24" s="234"/>
      <c r="N24"/>
      <c r="O24"/>
      <c r="P24"/>
      <c r="Q24"/>
      <c r="R24"/>
      <c r="S24"/>
      <c r="T24"/>
      <c r="U24"/>
      <c r="V24"/>
    </row>
    <row r="25" spans="1:22" ht="11.25" customHeight="1">
      <c r="A25" s="16"/>
      <c r="B25" s="17"/>
      <c r="C25" s="18"/>
      <c r="D25" s="18"/>
      <c r="E25" s="235" t="s">
        <v>16</v>
      </c>
      <c r="F25" s="236"/>
      <c r="G25" s="236"/>
      <c r="H25" s="236"/>
      <c r="I25" s="236"/>
      <c r="J25" s="236"/>
      <c r="K25" s="236"/>
      <c r="L25" s="236"/>
      <c r="M25" s="237"/>
      <c r="N25"/>
      <c r="O25"/>
      <c r="P25"/>
      <c r="Q25"/>
      <c r="R25"/>
      <c r="S25"/>
      <c r="T25"/>
      <c r="U25"/>
      <c r="V25"/>
    </row>
    <row r="26" spans="1:22" ht="11.25" customHeight="1">
      <c r="A26" s="16"/>
      <c r="B26" s="17"/>
      <c r="C26" s="18"/>
      <c r="D26" s="18"/>
      <c r="E26" s="235" t="s">
        <v>19</v>
      </c>
      <c r="F26" s="236"/>
      <c r="G26" s="236"/>
      <c r="H26" s="236"/>
      <c r="I26" s="236"/>
      <c r="J26" s="236"/>
      <c r="K26" s="236"/>
      <c r="L26" s="236"/>
      <c r="M26" s="237"/>
      <c r="N26"/>
      <c r="O26"/>
      <c r="P26"/>
      <c r="Q26"/>
      <c r="R26"/>
      <c r="S26"/>
      <c r="T26"/>
      <c r="U26"/>
      <c r="V26"/>
    </row>
    <row r="27" spans="1:22" ht="11.25" customHeight="1">
      <c r="A27" s="16"/>
      <c r="B27" s="17"/>
      <c r="C27" s="18"/>
      <c r="D27" s="18"/>
      <c r="E27" s="245" t="s">
        <v>89</v>
      </c>
      <c r="F27" s="279"/>
      <c r="G27" s="279"/>
      <c r="H27" s="279"/>
      <c r="I27" s="279"/>
      <c r="J27" s="279"/>
      <c r="K27" s="279"/>
      <c r="L27" s="279"/>
      <c r="M27" s="280"/>
      <c r="N27"/>
      <c r="O27"/>
      <c r="P27"/>
      <c r="Q27"/>
      <c r="R27"/>
      <c r="S27"/>
      <c r="T27"/>
      <c r="U27"/>
      <c r="V27"/>
    </row>
    <row r="28" spans="1:22" ht="11.25" customHeight="1" thickBot="1">
      <c r="A28" s="16"/>
      <c r="B28" s="17"/>
      <c r="C28" s="18"/>
      <c r="D28" s="18"/>
      <c r="E28" s="240" t="s">
        <v>38</v>
      </c>
      <c r="F28" s="242"/>
      <c r="G28" s="242"/>
      <c r="H28" s="242"/>
      <c r="I28" s="242"/>
      <c r="J28" s="243"/>
      <c r="K28" s="243"/>
      <c r="L28" s="243"/>
      <c r="M28" s="244"/>
      <c r="N28"/>
      <c r="O28"/>
      <c r="P28"/>
      <c r="Q28"/>
      <c r="R28"/>
      <c r="S28"/>
      <c r="T28"/>
      <c r="U28"/>
      <c r="V28"/>
    </row>
    <row r="29" spans="1:22" ht="11.25" customHeight="1">
      <c r="A29" s="16"/>
      <c r="B29" s="17"/>
      <c r="C29" s="18"/>
      <c r="D29" s="18"/>
      <c r="E29" s="53"/>
      <c r="F29" s="53"/>
      <c r="G29" s="53"/>
      <c r="H29" s="53"/>
      <c r="I29" s="53"/>
      <c r="J29" s="12"/>
      <c r="K29" s="12"/>
      <c r="L29" s="12"/>
      <c r="M29" s="15"/>
      <c r="N29"/>
      <c r="O29"/>
      <c r="P29"/>
      <c r="Q29"/>
      <c r="R29"/>
      <c r="S29"/>
      <c r="T29"/>
      <c r="U29"/>
      <c r="V29"/>
    </row>
    <row r="30" spans="2:22" ht="11.25" customHeight="1" thickBot="1">
      <c r="B30" s="224"/>
      <c r="C30" s="225"/>
      <c r="D30" s="225"/>
      <c r="E30" s="225"/>
      <c r="F30" s="225"/>
      <c r="G30" s="225"/>
      <c r="H30" s="225"/>
      <c r="I30" s="225"/>
      <c r="J30" s="55"/>
      <c r="K30" s="55"/>
      <c r="L30" s="55"/>
      <c r="M30" s="56"/>
      <c r="N30"/>
      <c r="O30"/>
      <c r="P30"/>
      <c r="Q30"/>
      <c r="R30"/>
      <c r="S30"/>
      <c r="T30"/>
      <c r="U30"/>
      <c r="V30"/>
    </row>
  </sheetData>
  <sheetProtection/>
  <mergeCells count="13">
    <mergeCell ref="E24:M24"/>
    <mergeCell ref="E28:M28"/>
    <mergeCell ref="E27:M27"/>
    <mergeCell ref="B30:I30"/>
    <mergeCell ref="B2:M2"/>
    <mergeCell ref="B3:M3"/>
    <mergeCell ref="B7:C7"/>
    <mergeCell ref="B5:E5"/>
    <mergeCell ref="H8:L8"/>
    <mergeCell ref="E25:M25"/>
    <mergeCell ref="E26:M26"/>
    <mergeCell ref="G12:M12"/>
    <mergeCell ref="G13:M13"/>
  </mergeCells>
  <conditionalFormatting sqref="I15:I23">
    <cfRule type="cellIs" priority="1" dxfId="2" operator="equal" stopIfTrue="1">
      <formula>MAX($I$15:$I$23)</formula>
    </cfRule>
    <cfRule type="cellIs" priority="2" dxfId="0" operator="between" stopIfTrue="1">
      <formula>MAX($I$15:$I$23)</formula>
      <formula>MAX($I$15:$I$23)-1</formula>
    </cfRule>
    <cfRule type="cellIs" priority="3" dxfId="0" operator="between" stopIfTrue="1">
      <formula>MAX($I$15:$I$23)</formula>
      <formula>MAX($I$15:$I$23)+1</formula>
    </cfRule>
  </conditionalFormatting>
  <conditionalFormatting sqref="J15:J23">
    <cfRule type="cellIs" priority="4" dxfId="2" operator="equal" stopIfTrue="1">
      <formula>MAX($J$15:$J$23)</formula>
    </cfRule>
    <cfRule type="cellIs" priority="5" dxfId="0" operator="between" stopIfTrue="1">
      <formula>MAX($J$15:$J$23)</formula>
      <formula>MAX($J$15:$J$23)-1</formula>
    </cfRule>
    <cfRule type="cellIs" priority="6" dxfId="0" operator="between" stopIfTrue="1">
      <formula>MAX($J$15:$J$23)</formula>
      <formula>MAX($J$15:$J$23)+1</formula>
    </cfRule>
  </conditionalFormatting>
  <conditionalFormatting sqref="K15:K23">
    <cfRule type="cellIs" priority="7" dxfId="2" operator="equal" stopIfTrue="1">
      <formula>MAX($K$15:$K$23)</formula>
    </cfRule>
    <cfRule type="cellIs" priority="8" dxfId="0" operator="between" stopIfTrue="1">
      <formula>MAX($K$15:$K$23)</formula>
      <formula>MAX($K$15:$K$23)-1</formula>
    </cfRule>
    <cfRule type="cellIs" priority="9" dxfId="0" operator="between" stopIfTrue="1">
      <formula>MAX($K$15:$K$23)</formula>
      <formula>MAX($K$15:$K$23)+1</formula>
    </cfRule>
  </conditionalFormatting>
  <conditionalFormatting sqref="L15:L23">
    <cfRule type="cellIs" priority="10" dxfId="2" operator="equal" stopIfTrue="1">
      <formula>MAX($L$15:$L$23)</formula>
    </cfRule>
    <cfRule type="cellIs" priority="11" dxfId="0" operator="between" stopIfTrue="1">
      <formula>MAX($L$15:$L$23)</formula>
      <formula>MAX($L$15:$L$23)-1</formula>
    </cfRule>
    <cfRule type="cellIs" priority="12" dxfId="0" operator="between" stopIfTrue="1">
      <formula>MAX($L$15:$L$23)</formula>
      <formula>MAX($L$15:$L$23)+1</formula>
    </cfRule>
  </conditionalFormatting>
  <conditionalFormatting sqref="M15:M23">
    <cfRule type="cellIs" priority="13" dxfId="2" operator="equal" stopIfTrue="1">
      <formula>MAX($M$15:$M$23)</formula>
    </cfRule>
    <cfRule type="cellIs" priority="14" dxfId="0" operator="between" stopIfTrue="1">
      <formula>MAX($M$15:$M$23)</formula>
      <formula>MAX($M$15:$M$23)-1</formula>
    </cfRule>
    <cfRule type="cellIs" priority="15" dxfId="0" operator="between" stopIfTrue="1">
      <formula>MAX($M$15:$M$23)</formula>
      <formula>MAX($M$15:$M$23)+1</formula>
    </cfRule>
  </conditionalFormatting>
  <conditionalFormatting sqref="G15:G23">
    <cfRule type="cellIs" priority="16" dxfId="2" operator="equal" stopIfTrue="1">
      <formula>MAX($G$15:$G$23)</formula>
    </cfRule>
    <cfRule type="cellIs" priority="17" dxfId="0" operator="between" stopIfTrue="1">
      <formula>MAX($G$15:$G$23)</formula>
      <formula>MAX($G$15:$G$23)-1</formula>
    </cfRule>
    <cfRule type="cellIs" priority="18" dxfId="0" operator="between" stopIfTrue="1">
      <formula>MAX($G$15:$G$23)</formula>
      <formula>MAX($G$15:$G$23)+1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MAX($H$15:$HG$23)+1</formula>
    </cfRule>
  </conditionalFormatting>
  <hyperlinks>
    <hyperlink ref="N3" location="'Wheat (Moist) MR'!A1" display="Go to Marginal Return Chart"/>
    <hyperlink ref="N2" location="'Wheat (Moist) Crop'!A1" display="Return to Wheat (Moist) as variable"/>
    <hyperlink ref="N5" location="'Data Entry'!A1" display="Return to Data Entry"/>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S30"/>
  <sheetViews>
    <sheetView showGridLines="0" zoomScalePageLayoutView="0" workbookViewId="0" topLeftCell="A1">
      <selection activeCell="N5" sqref="N5"/>
    </sheetView>
  </sheetViews>
  <sheetFormatPr defaultColWidth="9.140625" defaultRowHeight="12.75"/>
  <cols>
    <col min="1" max="1" width="1.57421875" style="10" customWidth="1"/>
    <col min="2" max="2" width="17.140625" style="10" customWidth="1"/>
    <col min="3" max="3" width="9.140625" style="10" customWidth="1"/>
    <col min="4" max="4" width="11.140625" style="10" customWidth="1"/>
    <col min="5" max="5" width="9.140625" style="10" customWidth="1"/>
    <col min="6" max="6" width="13.57421875" style="10" customWidth="1"/>
    <col min="7" max="13" width="9.140625" style="10" customWidth="1"/>
    <col min="14" max="14" width="28.2812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82</v>
      </c>
    </row>
    <row r="3" spans="1:14" ht="21">
      <c r="A3" s="11"/>
      <c r="B3" s="256" t="s">
        <v>48</v>
      </c>
      <c r="C3" s="257"/>
      <c r="D3" s="257"/>
      <c r="E3" s="257"/>
      <c r="F3" s="257"/>
      <c r="G3" s="257"/>
      <c r="H3" s="257"/>
      <c r="I3" s="257"/>
      <c r="J3" s="257"/>
      <c r="K3" s="257"/>
      <c r="L3" s="257"/>
      <c r="M3" s="258"/>
      <c r="N3" s="163" t="s">
        <v>69</v>
      </c>
    </row>
    <row r="4" spans="1:14" ht="6.75" customHeight="1">
      <c r="A4" s="11"/>
      <c r="B4" s="13"/>
      <c r="C4" s="14"/>
      <c r="D4" s="14"/>
      <c r="E4" s="14"/>
      <c r="F4" s="14"/>
      <c r="G4" s="14"/>
      <c r="H4" s="14"/>
      <c r="I4" s="14"/>
      <c r="J4" s="12"/>
      <c r="K4" s="12"/>
      <c r="L4" s="12"/>
      <c r="M4" s="15"/>
      <c r="N4" s="162"/>
    </row>
    <row r="5" spans="2:14" ht="12.75">
      <c r="B5" s="259"/>
      <c r="C5" s="260"/>
      <c r="D5" s="260"/>
      <c r="E5" s="261"/>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61</v>
      </c>
      <c r="C7" s="239"/>
      <c r="E7" s="18"/>
      <c r="F7" s="18"/>
      <c r="G7" s="18"/>
      <c r="H7" s="19"/>
      <c r="I7" s="18"/>
      <c r="J7" s="19"/>
      <c r="K7" s="12"/>
      <c r="L7" s="12"/>
      <c r="M7" s="15"/>
    </row>
    <row r="8" spans="1:13" ht="15" customHeight="1">
      <c r="A8" s="16"/>
      <c r="B8" s="87" t="s">
        <v>58</v>
      </c>
      <c r="C8" s="21" t="s">
        <v>59</v>
      </c>
      <c r="D8" s="18"/>
      <c r="E8" s="22"/>
      <c r="F8" s="23"/>
      <c r="G8" s="23"/>
      <c r="H8" s="230" t="s">
        <v>63</v>
      </c>
      <c r="I8" s="231"/>
      <c r="J8" s="231"/>
      <c r="K8" s="231"/>
      <c r="L8" s="231"/>
      <c r="M8" s="24"/>
    </row>
    <row r="9" spans="1:13" ht="13.5">
      <c r="A9" s="16"/>
      <c r="B9" s="20" t="s">
        <v>60</v>
      </c>
      <c r="C9" s="83">
        <f>'Data Entry'!F14</f>
        <v>5</v>
      </c>
      <c r="D9" s="18"/>
      <c r="E9" s="17"/>
      <c r="F9" s="18"/>
      <c r="G9" s="18"/>
      <c r="H9" s="19"/>
      <c r="I9" s="18"/>
      <c r="J9" s="19"/>
      <c r="K9" s="12"/>
      <c r="L9" s="12"/>
      <c r="M9" s="15"/>
    </row>
    <row r="10" spans="1:13" ht="13.5">
      <c r="A10" s="16"/>
      <c r="B10" s="30" t="s">
        <v>20</v>
      </c>
      <c r="C10" s="106">
        <f>'Data Entry'!C11</f>
        <v>10</v>
      </c>
      <c r="D10" s="18"/>
      <c r="E10" s="17"/>
      <c r="F10" s="18"/>
      <c r="G10" s="108">
        <f>H10-$C$12</f>
        <v>450</v>
      </c>
      <c r="H10" s="108">
        <f>I10-$C$12</f>
        <v>500</v>
      </c>
      <c r="I10" s="108">
        <f>J10-$C$12</f>
        <v>550</v>
      </c>
      <c r="J10" s="109">
        <f>'Data Entry'!C8</f>
        <v>600</v>
      </c>
      <c r="K10" s="108">
        <f>J10+$C$12</f>
        <v>650</v>
      </c>
      <c r="L10" s="108">
        <f>K10+$C$12</f>
        <v>700</v>
      </c>
      <c r="M10" s="110">
        <f>L10+$C$12</f>
        <v>750</v>
      </c>
    </row>
    <row r="11" spans="1:13" ht="13.5">
      <c r="A11" s="16"/>
      <c r="B11" s="33" t="s">
        <v>113</v>
      </c>
      <c r="C11" s="46"/>
      <c r="D11" s="18"/>
      <c r="E11" s="17"/>
      <c r="F11" s="29" t="s">
        <v>6</v>
      </c>
      <c r="G11" s="18"/>
      <c r="H11" s="18"/>
      <c r="I11" s="18"/>
      <c r="J11" s="12"/>
      <c r="K11" s="12"/>
      <c r="L11" s="12"/>
      <c r="M11" s="15"/>
    </row>
    <row r="12" spans="1:13" ht="13.5">
      <c r="A12" s="16"/>
      <c r="B12" s="37" t="s">
        <v>56</v>
      </c>
      <c r="C12" s="61">
        <f>'Data Entry'!C17</f>
        <v>50</v>
      </c>
      <c r="D12" s="18"/>
      <c r="E12" s="32"/>
      <c r="F12" s="29" t="s">
        <v>7</v>
      </c>
      <c r="G12" s="264" t="s">
        <v>8</v>
      </c>
      <c r="H12" s="264"/>
      <c r="I12" s="264"/>
      <c r="J12" s="264"/>
      <c r="K12" s="264"/>
      <c r="L12" s="264"/>
      <c r="M12" s="265"/>
    </row>
    <row r="13" spans="1:13" ht="14.25" thickBot="1">
      <c r="A13" s="16"/>
      <c r="B13" s="43" t="s">
        <v>28</v>
      </c>
      <c r="C13" s="46"/>
      <c r="D13" s="18"/>
      <c r="E13" s="35" t="s">
        <v>9</v>
      </c>
      <c r="F13" s="36" t="s">
        <v>10</v>
      </c>
      <c r="G13" s="228" t="s">
        <v>18</v>
      </c>
      <c r="H13" s="228"/>
      <c r="I13" s="228"/>
      <c r="J13" s="228"/>
      <c r="K13" s="228"/>
      <c r="L13" s="228"/>
      <c r="M13" s="229"/>
    </row>
    <row r="14" spans="1:13" ht="13.5">
      <c r="A14" s="16"/>
      <c r="B14" s="113" t="s">
        <v>29</v>
      </c>
      <c r="C14" s="107">
        <f>'Data Entry'!C15</f>
        <v>30</v>
      </c>
      <c r="D14" s="18"/>
      <c r="E14" s="39" t="s">
        <v>11</v>
      </c>
      <c r="F14" s="40" t="s">
        <v>12</v>
      </c>
      <c r="G14" s="111">
        <f>'Data Entry'!$F$14/(G$10/(('Data Entry'!$C$9/100)*2200))</f>
        <v>11.244444444444445</v>
      </c>
      <c r="H14" s="111">
        <f>'Data Entry'!$F$14/(H$10/(('Data Entry'!$C$9/100)*2200))</f>
        <v>10.120000000000001</v>
      </c>
      <c r="I14" s="111">
        <f>'Data Entry'!$F$14/(I$10/(('Data Entry'!$C$9/100)*2200))</f>
        <v>9.200000000000001</v>
      </c>
      <c r="J14" s="111">
        <f>'Data Entry'!$F$14/(J$10/(('Data Entry'!$C$9/100)*2200))</f>
        <v>8.433333333333334</v>
      </c>
      <c r="K14" s="111">
        <f>'Data Entry'!$F$14/(K$10/(('Data Entry'!$C$9/100)*2200))</f>
        <v>7.784615384615385</v>
      </c>
      <c r="L14" s="111">
        <f>'Data Entry'!$F$14/(L$10/(('Data Entry'!$C$9/100)*2200))</f>
        <v>7.228571428571429</v>
      </c>
      <c r="M14" s="112">
        <f>'Data Entry'!$F$14/(M$10/(('Data Entry'!$C$9/100)*2200))</f>
        <v>6.746666666666666</v>
      </c>
    </row>
    <row r="15" spans="1:13" ht="13.5">
      <c r="A15" s="16"/>
      <c r="B15" s="43" t="s">
        <v>30</v>
      </c>
      <c r="C15" s="46"/>
      <c r="D15" s="18"/>
      <c r="E15" s="195">
        <f>IF((E19-4*$C$10)&lt;0,0,(E19-4*$C$10))</f>
        <v>30</v>
      </c>
      <c r="F15" s="128">
        <f>IF(((-0.0013*(E15+$C$14)^2+0.4159*(E15+$C$14))-(-0.0013*($C$14)^2+0.4159*($C$14)))&lt;0,0,(-0.0013*(E15+$C$14)^2+0.4159*(E15+$C$14))-(-0.0013*($C$14)^2+0.4159*($C$14)))</f>
        <v>8.967</v>
      </c>
      <c r="G15" s="137">
        <f>('Data Entry'!$F$14*$F15)-(G$10/(('Data Entry'!$C$9/100)*2200))*($E15)</f>
        <v>31.4950790513834</v>
      </c>
      <c r="H15" s="137">
        <f>('Data Entry'!$F$14*$F15)-(H$10/(('Data Entry'!$C$9/100)*2200))*($E15)</f>
        <v>30.012865612648223</v>
      </c>
      <c r="I15" s="137">
        <f>('Data Entry'!$F$14*$F15)-(I$10/(('Data Entry'!$C$9/100)*2200))*($E15)</f>
        <v>28.530652173913044</v>
      </c>
      <c r="J15" s="137">
        <f>('Data Entry'!$F$14*$F15)-(J$10/(('Data Entry'!$C$9/100)*2200))*($E15)</f>
        <v>27.048438735177864</v>
      </c>
      <c r="K15" s="137">
        <f>('Data Entry'!$F$14*$F15)-(K$10/(('Data Entry'!$C$9/100)*2200))*($E15)</f>
        <v>25.56622529644269</v>
      </c>
      <c r="L15" s="137">
        <f>('Data Entry'!$F$14*$F15)-(L$10/(('Data Entry'!$C$9/100)*2200))*($E15)</f>
        <v>24.08401185770751</v>
      </c>
      <c r="M15" s="138">
        <f>('Data Entry'!$F$14*$F15)-(M$10/(('Data Entry'!$C$9/100)*2200))*($E15)</f>
        <v>22.601798418972333</v>
      </c>
    </row>
    <row r="16" spans="1:13" ht="13.5">
      <c r="A16" s="16"/>
      <c r="B16" s="54"/>
      <c r="D16" s="18"/>
      <c r="E16" s="195">
        <f>IF((E20-4*$C$10)&lt;0,0,(E20-4*$C$10))</f>
        <v>40</v>
      </c>
      <c r="F16" s="128">
        <f aca="true" t="shared" si="0" ref="F16:F23">IF(((-0.0013*(E16+$C$14)^2+0.4159*(E16+$C$14))-(-0.0013*($C$14)^2+0.4159*($C$14)))&lt;0,0,(-0.0013*(E16+$C$14)^2+0.4159*(E16+$C$14))-(-0.0013*($C$14)^2+0.4159*($C$14)))</f>
        <v>11.435999999999998</v>
      </c>
      <c r="G16" s="137">
        <f>('Data Entry'!$F$14*$F16)-(G$10/(('Data Entry'!$C$9/100)*2200))*($E16)</f>
        <v>39.39343873517786</v>
      </c>
      <c r="H16" s="137">
        <f>('Data Entry'!$F$14*$F16)-(H$10/(('Data Entry'!$C$9/100)*2200))*($E16)</f>
        <v>37.41715415019762</v>
      </c>
      <c r="I16" s="137">
        <f>('Data Entry'!$F$14*$F16)-(I$10/(('Data Entry'!$C$9/100)*2200))*($E16)</f>
        <v>35.44086956521738</v>
      </c>
      <c r="J16" s="137">
        <f>('Data Entry'!$F$14*$F16)-(J$10/(('Data Entry'!$C$9/100)*2200))*($E16)</f>
        <v>33.46458498023715</v>
      </c>
      <c r="K16" s="137">
        <f>('Data Entry'!$F$14*$F16)-(K$10/(('Data Entry'!$C$9/100)*2200))*($E16)</f>
        <v>31.48830039525691</v>
      </c>
      <c r="L16" s="137">
        <f>('Data Entry'!$F$14*$F16)-(L$10/(('Data Entry'!$C$9/100)*2200))*($E16)</f>
        <v>29.512015810276672</v>
      </c>
      <c r="M16" s="138">
        <f>('Data Entry'!$F$14*$F16)-(M$10/(('Data Entry'!$C$9/100)*2200))*($E16)</f>
        <v>27.535731225296434</v>
      </c>
    </row>
    <row r="17" spans="1:13" ht="13.5">
      <c r="A17" s="16"/>
      <c r="B17" s="54"/>
      <c r="D17" s="18"/>
      <c r="E17" s="195">
        <f>IF((E21-4*$C$10)&lt;0,0,(E21-4*$C$10))</f>
        <v>50</v>
      </c>
      <c r="F17" s="128">
        <f t="shared" si="0"/>
        <v>13.644999999999998</v>
      </c>
      <c r="G17" s="137">
        <f>('Data Entry'!$F$14*$F17)-(G$10/(('Data Entry'!$C$9/100)*2200))*($E17)</f>
        <v>45.99179841897232</v>
      </c>
      <c r="H17" s="137">
        <f>('Data Entry'!$F$14*$F17)-(H$10/(('Data Entry'!$C$9/100)*2200))*($E17)</f>
        <v>43.521442687747026</v>
      </c>
      <c r="I17" s="137">
        <f>('Data Entry'!$F$14*$F17)-(I$10/(('Data Entry'!$C$9/100)*2200))*($E17)</f>
        <v>41.051086956521736</v>
      </c>
      <c r="J17" s="137">
        <f>('Data Entry'!$F$14*$F17)-(J$10/(('Data Entry'!$C$9/100)*2200))*($E17)</f>
        <v>38.58073122529643</v>
      </c>
      <c r="K17" s="137">
        <f>('Data Entry'!$F$14*$F17)-(K$10/(('Data Entry'!$C$9/100)*2200))*($E17)</f>
        <v>36.11037549407114</v>
      </c>
      <c r="L17" s="137">
        <f>('Data Entry'!$F$14*$F17)-(L$10/(('Data Entry'!$C$9/100)*2200))*($E17)</f>
        <v>33.640019762845846</v>
      </c>
      <c r="M17" s="138">
        <f>('Data Entry'!$F$14*$F17)-(M$10/(('Data Entry'!$C$9/100)*2200))*($E17)</f>
        <v>31.169664031620542</v>
      </c>
    </row>
    <row r="18" spans="1:13" ht="14.25" thickBot="1">
      <c r="A18" s="16"/>
      <c r="B18" s="17"/>
      <c r="C18" s="18"/>
      <c r="D18" s="18"/>
      <c r="E18" s="198">
        <f>IF((E22-4*$C$10)&lt;0,0,(E22-4*$C$10))</f>
        <v>60</v>
      </c>
      <c r="F18" s="128">
        <f t="shared" si="0"/>
        <v>15.593999999999996</v>
      </c>
      <c r="G18" s="137">
        <f>('Data Entry'!$F$14*$F18)-(G$10/(('Data Entry'!$C$9/100)*2200))*($E18)</f>
        <v>51.29015810276678</v>
      </c>
      <c r="H18" s="137">
        <f>('Data Entry'!$F$14*$F18)-(H$10/(('Data Entry'!$C$9/100)*2200))*($E18)</f>
        <v>48.32573122529643</v>
      </c>
      <c r="I18" s="137">
        <f>('Data Entry'!$F$14*$F18)-(I$10/(('Data Entry'!$C$9/100)*2200))*($E18)</f>
        <v>45.36130434782607</v>
      </c>
      <c r="J18" s="137">
        <f>('Data Entry'!$F$14*$F18)-(J$10/(('Data Entry'!$C$9/100)*2200))*($E18)</f>
        <v>42.39687747035571</v>
      </c>
      <c r="K18" s="137">
        <f>('Data Entry'!$F$14*$F18)-(K$10/(('Data Entry'!$C$9/100)*2200))*($E18)</f>
        <v>39.43245059288536</v>
      </c>
      <c r="L18" s="137">
        <f>('Data Entry'!$F$14*$F18)-(L$10/(('Data Entry'!$C$9/100)*2200))*($E18)</f>
        <v>36.468023715415</v>
      </c>
      <c r="M18" s="138">
        <f>('Data Entry'!$F$14*$F18)-(M$10/(('Data Entry'!$C$9/100)*2200))*($E18)</f>
        <v>33.50359683794465</v>
      </c>
    </row>
    <row r="19" spans="1:13" ht="14.25" thickBot="1">
      <c r="A19" s="16"/>
      <c r="B19" s="47"/>
      <c r="C19" s="48"/>
      <c r="D19" s="49" t="s">
        <v>13</v>
      </c>
      <c r="E19" s="50">
        <f>'Data Entry'!G9</f>
        <v>70</v>
      </c>
      <c r="F19" s="197">
        <f t="shared" si="0"/>
        <v>17.282999999999994</v>
      </c>
      <c r="G19" s="137">
        <f>('Data Entry'!$F$14*$F19)-(G$10/(('Data Entry'!$C$9/100)*2200))*($E19)</f>
        <v>55.28851778656123</v>
      </c>
      <c r="H19" s="137">
        <f>('Data Entry'!$F$14*$F19)-(H$10/(('Data Entry'!$C$9/100)*2200))*($E19)</f>
        <v>51.830019762845815</v>
      </c>
      <c r="I19" s="137">
        <f>('Data Entry'!$F$14*$F19)-(I$10/(('Data Entry'!$C$9/100)*2200))*($E19)</f>
        <v>48.3715217391304</v>
      </c>
      <c r="J19" s="137">
        <f>('Data Entry'!$F$14*$F19)-(J$10/(('Data Entry'!$C$9/100)*2200))*($E19)</f>
        <v>44.91302371541498</v>
      </c>
      <c r="K19" s="137">
        <f>('Data Entry'!$F$14*$F19)-(K$10/(('Data Entry'!$C$9/100)*2200))*($E19)</f>
        <v>41.45452569169957</v>
      </c>
      <c r="L19" s="137">
        <f>('Data Entry'!$F$14*$F19)-(L$10/(('Data Entry'!$C$9/100)*2200))*($E19)</f>
        <v>37.99602766798415</v>
      </c>
      <c r="M19" s="138">
        <f>('Data Entry'!$F$14*$F19)-(M$10/(('Data Entry'!$C$9/100)*2200))*($E19)</f>
        <v>34.53752964426874</v>
      </c>
    </row>
    <row r="20" spans="1:13" ht="13.5">
      <c r="A20" s="16"/>
      <c r="B20" s="17"/>
      <c r="C20" s="18"/>
      <c r="D20" s="18"/>
      <c r="E20" s="199">
        <f>E19+C10</f>
        <v>80</v>
      </c>
      <c r="F20" s="128">
        <f t="shared" si="0"/>
        <v>18.712000000000003</v>
      </c>
      <c r="G20" s="137">
        <f>('Data Entry'!$F$14*$F20)-(G$10/(('Data Entry'!$C$9/100)*2200))*($E20)</f>
        <v>57.98687747035575</v>
      </c>
      <c r="H20" s="137">
        <f>('Data Entry'!$F$14*$F20)-(H$10/(('Data Entry'!$C$9/100)*2200))*($E20)</f>
        <v>54.034308300395274</v>
      </c>
      <c r="I20" s="137">
        <f>('Data Entry'!$F$14*$F20)-(I$10/(('Data Entry'!$C$9/100)*2200))*($E20)</f>
        <v>50.0817391304348</v>
      </c>
      <c r="J20" s="137">
        <f>('Data Entry'!$F$14*$F20)-(J$10/(('Data Entry'!$C$9/100)*2200))*($E20)</f>
        <v>46.12916996047432</v>
      </c>
      <c r="K20" s="137">
        <f>('Data Entry'!$F$14*$F20)-(K$10/(('Data Entry'!$C$9/100)*2200))*($E20)</f>
        <v>42.17660079051385</v>
      </c>
      <c r="L20" s="137">
        <f>('Data Entry'!$F$14*$F20)-(L$10/(('Data Entry'!$C$9/100)*2200))*($E20)</f>
        <v>38.224031620553376</v>
      </c>
      <c r="M20" s="138">
        <f>('Data Entry'!$F$14*$F20)-(M$10/(('Data Entry'!$C$9/100)*2200))*($E20)</f>
        <v>34.2714624505929</v>
      </c>
    </row>
    <row r="21" spans="1:13" ht="13.5">
      <c r="A21" s="16"/>
      <c r="B21" s="17"/>
      <c r="C21" s="52"/>
      <c r="D21" s="18"/>
      <c r="E21" s="195">
        <f>E19+2*C10</f>
        <v>90</v>
      </c>
      <c r="F21" s="128">
        <f t="shared" si="0"/>
        <v>19.881</v>
      </c>
      <c r="G21" s="137">
        <f>('Data Entry'!$F$14*$F21)-(G$10/(('Data Entry'!$C$9/100)*2200))*($E21)</f>
        <v>59.3852371541502</v>
      </c>
      <c r="H21" s="137">
        <f>('Data Entry'!$F$14*$F21)-(H$10/(('Data Entry'!$C$9/100)*2200))*($E21)</f>
        <v>54.938596837944665</v>
      </c>
      <c r="I21" s="137">
        <f>('Data Entry'!$F$14*$F21)-(I$10/(('Data Entry'!$C$9/100)*2200))*($E21)</f>
        <v>50.491956521739134</v>
      </c>
      <c r="J21" s="137">
        <f>('Data Entry'!$F$14*$F21)-(J$10/(('Data Entry'!$C$9/100)*2200))*($E21)</f>
        <v>46.045316205533595</v>
      </c>
      <c r="K21" s="137">
        <f>('Data Entry'!$F$14*$F21)-(K$10/(('Data Entry'!$C$9/100)*2200))*($E21)</f>
        <v>41.59867588932807</v>
      </c>
      <c r="L21" s="137">
        <f>('Data Entry'!$F$14*$F21)-(L$10/(('Data Entry'!$C$9/100)*2200))*($E21)</f>
        <v>37.15203557312253</v>
      </c>
      <c r="M21" s="138">
        <f>('Data Entry'!$F$14*$F21)-(M$10/(('Data Entry'!$C$9/100)*2200))*($E21)</f>
        <v>32.70539525691699</v>
      </c>
    </row>
    <row r="22" spans="1:13" ht="13.5">
      <c r="A22" s="16"/>
      <c r="B22" s="17"/>
      <c r="C22" s="18"/>
      <c r="D22" s="18"/>
      <c r="E22" s="195">
        <f>E19+3*C10</f>
        <v>100</v>
      </c>
      <c r="F22" s="128">
        <f t="shared" si="0"/>
        <v>20.79</v>
      </c>
      <c r="G22" s="137">
        <f>('Data Entry'!$F$14*$F22)-(G$10/(('Data Entry'!$C$9/100)*2200))*($E22)</f>
        <v>59.48359683794465</v>
      </c>
      <c r="H22" s="137">
        <f>('Data Entry'!$F$14*$F22)-(H$10/(('Data Entry'!$C$9/100)*2200))*($E22)</f>
        <v>54.54288537549406</v>
      </c>
      <c r="I22" s="137">
        <f>('Data Entry'!$F$14*$F22)-(I$10/(('Data Entry'!$C$9/100)*2200))*($E22)</f>
        <v>49.60217391304347</v>
      </c>
      <c r="J22" s="137">
        <f>('Data Entry'!$F$14*$F22)-(J$10/(('Data Entry'!$C$9/100)*2200))*($E22)</f>
        <v>44.66146245059287</v>
      </c>
      <c r="K22" s="137">
        <f>('Data Entry'!$F$14*$F22)-(K$10/(('Data Entry'!$C$9/100)*2200))*($E22)</f>
        <v>39.720750988142285</v>
      </c>
      <c r="L22" s="137">
        <f>('Data Entry'!$F$14*$F22)-(L$10/(('Data Entry'!$C$9/100)*2200))*($E22)</f>
        <v>34.78003952569169</v>
      </c>
      <c r="M22" s="138">
        <f>('Data Entry'!$F$14*$F22)-(M$10/(('Data Entry'!$C$9/100)*2200))*($E22)</f>
        <v>29.839328063241084</v>
      </c>
    </row>
    <row r="23" spans="1:13" ht="13.5">
      <c r="A23" s="16"/>
      <c r="B23" s="17"/>
      <c r="C23" s="18"/>
      <c r="D23" s="18"/>
      <c r="E23" s="195">
        <f>E19+4*C10</f>
        <v>110</v>
      </c>
      <c r="F23" s="128">
        <f t="shared" si="0"/>
        <v>21.438999999999993</v>
      </c>
      <c r="G23" s="137">
        <f>('Data Entry'!$F$14*$F23)-(G$10/(('Data Entry'!$C$9/100)*2200))*($E23)</f>
        <v>58.2819565217391</v>
      </c>
      <c r="H23" s="137">
        <f>('Data Entry'!$F$14*$F23)-(H$10/(('Data Entry'!$C$9/100)*2200))*($E23)</f>
        <v>52.84717391304345</v>
      </c>
      <c r="I23" s="137">
        <f>('Data Entry'!$F$14*$F23)-(I$10/(('Data Entry'!$C$9/100)*2200))*($E23)</f>
        <v>47.41239130434779</v>
      </c>
      <c r="J23" s="137">
        <f>('Data Entry'!$F$14*$F23)-(J$10/(('Data Entry'!$C$9/100)*2200))*($E23)</f>
        <v>41.97760869565214</v>
      </c>
      <c r="K23" s="137">
        <f>('Data Entry'!$F$14*$F23)-(K$10/(('Data Entry'!$C$9/100)*2200))*($E23)</f>
        <v>36.542826086956495</v>
      </c>
      <c r="L23" s="137">
        <f>('Data Entry'!$F$14*$F23)-(L$10/(('Data Entry'!$C$9/100)*2200))*($E23)</f>
        <v>31.10804347826084</v>
      </c>
      <c r="M23" s="138">
        <f>('Data Entry'!$F$14*$F23)-(M$10/(('Data Entry'!$C$9/100)*2200))*($E23)</f>
        <v>25.673260869565183</v>
      </c>
    </row>
    <row r="24" spans="1:13" ht="13.5" customHeight="1">
      <c r="A24" s="16"/>
      <c r="B24" s="17"/>
      <c r="C24" s="18"/>
      <c r="D24" s="18"/>
      <c r="E24" s="266" t="s">
        <v>51</v>
      </c>
      <c r="F24" s="267"/>
      <c r="G24" s="277"/>
      <c r="H24" s="277"/>
      <c r="I24" s="277"/>
      <c r="J24" s="277"/>
      <c r="K24" s="277"/>
      <c r="L24" s="277"/>
      <c r="M24" s="278"/>
    </row>
    <row r="25" spans="1:13" ht="9.75" customHeight="1">
      <c r="A25" s="16"/>
      <c r="B25" s="17"/>
      <c r="C25" s="18"/>
      <c r="D25" s="18"/>
      <c r="E25" s="266" t="s">
        <v>16</v>
      </c>
      <c r="F25" s="267"/>
      <c r="G25" s="267"/>
      <c r="H25" s="267"/>
      <c r="I25" s="267"/>
      <c r="J25" s="267"/>
      <c r="K25" s="267"/>
      <c r="L25" s="267"/>
      <c r="M25" s="268"/>
    </row>
    <row r="26" spans="1:13" ht="9.75" customHeight="1">
      <c r="A26" s="16"/>
      <c r="B26" s="17"/>
      <c r="C26" s="18"/>
      <c r="D26" s="18"/>
      <c r="E26" s="266" t="s">
        <v>19</v>
      </c>
      <c r="F26" s="267"/>
      <c r="G26" s="267"/>
      <c r="H26" s="267"/>
      <c r="I26" s="267"/>
      <c r="J26" s="267"/>
      <c r="K26" s="267"/>
      <c r="L26" s="267"/>
      <c r="M26" s="268"/>
    </row>
    <row r="27" spans="1:19" ht="11.25" customHeight="1">
      <c r="A27" s="16"/>
      <c r="B27" s="17"/>
      <c r="C27" s="18"/>
      <c r="D27" s="18"/>
      <c r="E27" s="245" t="s">
        <v>89</v>
      </c>
      <c r="F27" s="279"/>
      <c r="G27" s="279"/>
      <c r="H27" s="279"/>
      <c r="I27" s="279"/>
      <c r="J27" s="279"/>
      <c r="K27" s="279"/>
      <c r="L27" s="279"/>
      <c r="M27" s="280"/>
      <c r="N27" s="132"/>
      <c r="O27"/>
      <c r="P27"/>
      <c r="Q27"/>
      <c r="R27"/>
      <c r="S27"/>
    </row>
    <row r="28" spans="1:13" ht="12" customHeight="1" thickBot="1">
      <c r="A28" s="16"/>
      <c r="B28" s="17"/>
      <c r="C28" s="18"/>
      <c r="D28" s="18"/>
      <c r="E28" s="269" t="s">
        <v>38</v>
      </c>
      <c r="F28" s="271"/>
      <c r="G28" s="271"/>
      <c r="H28" s="271"/>
      <c r="I28" s="271"/>
      <c r="J28" s="272"/>
      <c r="K28" s="272"/>
      <c r="L28" s="272"/>
      <c r="M28" s="273"/>
    </row>
    <row r="29" spans="1:13" ht="11.25" customHeight="1">
      <c r="A29" s="16"/>
      <c r="B29" s="17"/>
      <c r="C29" s="18"/>
      <c r="D29" s="18"/>
      <c r="E29" s="53"/>
      <c r="F29" s="53"/>
      <c r="G29" s="53"/>
      <c r="H29" s="53"/>
      <c r="I29" s="53"/>
      <c r="J29" s="12"/>
      <c r="K29" s="12"/>
      <c r="L29" s="12"/>
      <c r="M29" s="15"/>
    </row>
    <row r="30" spans="2:13" ht="11.25" customHeight="1" thickBot="1">
      <c r="B30" s="76"/>
      <c r="C30" s="81"/>
      <c r="D30" s="81"/>
      <c r="E30" s="81"/>
      <c r="F30" s="81"/>
      <c r="G30" s="81"/>
      <c r="H30" s="81"/>
      <c r="I30" s="81"/>
      <c r="J30" s="55"/>
      <c r="K30" s="55"/>
      <c r="L30" s="55"/>
      <c r="M30" s="56"/>
    </row>
  </sheetData>
  <sheetProtection/>
  <mergeCells count="12">
    <mergeCell ref="B2:M2"/>
    <mergeCell ref="B3:M3"/>
    <mergeCell ref="B7:C7"/>
    <mergeCell ref="B5:E5"/>
    <mergeCell ref="E28:M28"/>
    <mergeCell ref="E27:M27"/>
    <mergeCell ref="H8:L8"/>
    <mergeCell ref="E25:M25"/>
    <mergeCell ref="E26:M26"/>
    <mergeCell ref="G12:M12"/>
    <mergeCell ref="G13:M13"/>
    <mergeCell ref="E24:M24"/>
  </mergeCells>
  <conditionalFormatting sqref="I15:I23">
    <cfRule type="cellIs" priority="1" dxfId="2" operator="equal" stopIfTrue="1">
      <formula>MAX($I$15:$I$23)</formula>
    </cfRule>
    <cfRule type="cellIs" priority="2" dxfId="0" operator="between" stopIfTrue="1">
      <formula>MAX($I$15:$I$23)</formula>
      <formula>MAX($I$15:$I$23)-1</formula>
    </cfRule>
    <cfRule type="cellIs" priority="3" dxfId="0" operator="between" stopIfTrue="1">
      <formula>MAX($I$15:$I$23)</formula>
      <formula>MAX($I$15:$I$23)+1</formula>
    </cfRule>
  </conditionalFormatting>
  <conditionalFormatting sqref="J15:J23">
    <cfRule type="cellIs" priority="4" dxfId="2" operator="equal" stopIfTrue="1">
      <formula>MAX($J$15:$J$23)</formula>
    </cfRule>
    <cfRule type="cellIs" priority="5" dxfId="0" operator="between" stopIfTrue="1">
      <formula>MAX($J$15:$J$23)</formula>
      <formula>MAX($J$15:$J$23)-1</formula>
    </cfRule>
    <cfRule type="cellIs" priority="6" dxfId="0" operator="between" stopIfTrue="1">
      <formula>MAX($J$15:$J$23)</formula>
      <formula>MAX($J$15:$J$23)+1</formula>
    </cfRule>
  </conditionalFormatting>
  <conditionalFormatting sqref="K15:K23">
    <cfRule type="cellIs" priority="7" dxfId="2" operator="equal" stopIfTrue="1">
      <formula>MAX($K$15:$K$23)</formula>
    </cfRule>
    <cfRule type="cellIs" priority="8" dxfId="0" operator="between" stopIfTrue="1">
      <formula>MAX($K$15:$K$23)</formula>
      <formula>MAX($K$15:$K$23)-1</formula>
    </cfRule>
    <cfRule type="cellIs" priority="9" dxfId="0" operator="between" stopIfTrue="1">
      <formula>MAX($K$15:$K$23)</formula>
      <formula>MAX($K$15:$K$23)+1</formula>
    </cfRule>
  </conditionalFormatting>
  <conditionalFormatting sqref="L15:L23">
    <cfRule type="cellIs" priority="10" dxfId="2" operator="equal" stopIfTrue="1">
      <formula>MAX($L$15:$L$23)</formula>
    </cfRule>
    <cfRule type="cellIs" priority="11" dxfId="0" operator="between" stopIfTrue="1">
      <formula>MAX($L$15:$L$23)</formula>
      <formula>MAX($L$15:$L$23)-1</formula>
    </cfRule>
    <cfRule type="cellIs" priority="12" dxfId="0" operator="between" stopIfTrue="1">
      <formula>MAX($L$15:$L$23)</formula>
      <formula>MAX($L$15:$L$23)+1</formula>
    </cfRule>
  </conditionalFormatting>
  <conditionalFormatting sqref="M15:M23">
    <cfRule type="cellIs" priority="13" dxfId="2" operator="equal" stopIfTrue="1">
      <formula>MAX($M$15:$M$23)</formula>
    </cfRule>
    <cfRule type="cellIs" priority="14" dxfId="0" operator="between" stopIfTrue="1">
      <formula>MAX($M$15:$M$23)</formula>
      <formula>MAX($M$15:$M$23)-1</formula>
    </cfRule>
    <cfRule type="cellIs" priority="15" dxfId="0" operator="between" stopIfTrue="1">
      <formula>MAX($M$15:$M$23)</formula>
      <formula>MAX($M$15:$M$23)+1</formula>
    </cfRule>
  </conditionalFormatting>
  <conditionalFormatting sqref="G15:G23">
    <cfRule type="cellIs" priority="16" dxfId="2" operator="equal" stopIfTrue="1">
      <formula>MAX($G$15:$G$23)</formula>
    </cfRule>
    <cfRule type="cellIs" priority="17" dxfId="0" operator="between" stopIfTrue="1">
      <formula>MAX($G$15:$G$23)</formula>
      <formula>MAX($G$15:$G$23)-1</formula>
    </cfRule>
    <cfRule type="cellIs" priority="18" dxfId="0" operator="between" stopIfTrue="1">
      <formula>MAX($G$15:$G$23)</formula>
      <formula>MAX($G$15:$G$23)+1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MAX($H$15:$HG$23)+1</formula>
    </cfRule>
  </conditionalFormatting>
  <hyperlinks>
    <hyperlink ref="N2" location="'Wheat (Dry) Crop'!A1" display="Return to Wheat (Dry) as variable"/>
    <hyperlink ref="N3" location="'Wheat (Dry) MR'!A1" display="Go to Marginal Return Chart"/>
    <hyperlink ref="N5" location="'Data Entry'!A1" display="Return to Data Entry"/>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56"/>
  <sheetViews>
    <sheetView showGridLines="0" zoomScalePageLayoutView="0" workbookViewId="0" topLeftCell="A1">
      <selection activeCell="O2" sqref="O2:Q2"/>
    </sheetView>
  </sheetViews>
  <sheetFormatPr defaultColWidth="9.140625" defaultRowHeight="12.75"/>
  <cols>
    <col min="1" max="1" width="1.57421875" style="10" customWidth="1"/>
    <col min="2" max="2" width="17.140625" style="10" customWidth="1"/>
    <col min="3" max="3" width="9.421875" style="10" bestFit="1" customWidth="1"/>
    <col min="4" max="4" width="11.140625" style="10" customWidth="1"/>
    <col min="5" max="5" width="9.421875" style="10" bestFit="1" customWidth="1"/>
    <col min="6" max="6" width="9.421875" style="10" customWidth="1"/>
    <col min="7" max="7" width="13.00390625" style="10" customWidth="1"/>
    <col min="8" max="14" width="9.57421875" style="10" customWidth="1"/>
    <col min="15" max="15" width="16.00390625" style="157" customWidth="1"/>
    <col min="16" max="16" width="10.28125" style="10" customWidth="1"/>
    <col min="17" max="16384" width="9.140625" style="10" customWidth="1"/>
  </cols>
  <sheetData>
    <row r="1" spans="2:10" ht="6" customHeight="1" thickBot="1">
      <c r="B1" s="11"/>
      <c r="C1" s="11"/>
      <c r="D1" s="11"/>
      <c r="E1" s="11"/>
      <c r="F1" s="11"/>
      <c r="G1" s="11"/>
      <c r="H1" s="11"/>
      <c r="I1" s="11"/>
      <c r="J1" s="11"/>
    </row>
    <row r="2" spans="1:17" ht="21">
      <c r="A2" s="11"/>
      <c r="B2" s="253" t="s">
        <v>40</v>
      </c>
      <c r="C2" s="254"/>
      <c r="D2" s="254"/>
      <c r="E2" s="254"/>
      <c r="F2" s="254"/>
      <c r="G2" s="254"/>
      <c r="H2" s="254"/>
      <c r="I2" s="254"/>
      <c r="J2" s="254"/>
      <c r="K2" s="254"/>
      <c r="L2" s="254"/>
      <c r="M2" s="254"/>
      <c r="N2" s="255"/>
      <c r="O2" s="251" t="s">
        <v>69</v>
      </c>
      <c r="P2" s="252"/>
      <c r="Q2" s="252"/>
    </row>
    <row r="3" spans="1:17" ht="21">
      <c r="A3" s="11"/>
      <c r="B3" s="256" t="s">
        <v>47</v>
      </c>
      <c r="C3" s="257"/>
      <c r="D3" s="257"/>
      <c r="E3" s="257"/>
      <c r="F3" s="257"/>
      <c r="G3" s="257"/>
      <c r="H3" s="257"/>
      <c r="I3" s="257"/>
      <c r="J3" s="257"/>
      <c r="K3" s="257"/>
      <c r="L3" s="257"/>
      <c r="M3" s="257"/>
      <c r="N3" s="258"/>
      <c r="O3" s="251" t="s">
        <v>76</v>
      </c>
      <c r="P3" s="252"/>
      <c r="Q3" s="252"/>
    </row>
    <row r="4" spans="1:17" ht="6.75" customHeight="1">
      <c r="A4" s="11"/>
      <c r="B4" s="13"/>
      <c r="C4" s="14"/>
      <c r="D4" s="14"/>
      <c r="E4" s="14"/>
      <c r="F4" s="14"/>
      <c r="G4" s="14"/>
      <c r="H4" s="14"/>
      <c r="I4" s="14"/>
      <c r="J4" s="14"/>
      <c r="K4" s="12"/>
      <c r="L4" s="12"/>
      <c r="M4" s="12"/>
      <c r="N4" s="15"/>
      <c r="O4" s="158"/>
      <c r="P4" s="157"/>
      <c r="Q4" s="157"/>
    </row>
    <row r="5" spans="2:17" ht="12.75">
      <c r="B5" s="259"/>
      <c r="C5" s="260"/>
      <c r="D5" s="260"/>
      <c r="E5" s="261"/>
      <c r="F5" s="11"/>
      <c r="I5" s="12"/>
      <c r="J5" s="12"/>
      <c r="K5" s="12"/>
      <c r="L5" s="12"/>
      <c r="M5" s="12"/>
      <c r="N5" s="15"/>
      <c r="O5" s="249" t="s">
        <v>100</v>
      </c>
      <c r="P5" s="250"/>
      <c r="Q5" s="250"/>
    </row>
    <row r="6" spans="1:15" ht="4.5" customHeight="1" thickBot="1">
      <c r="A6" s="16"/>
      <c r="B6" s="17"/>
      <c r="C6" s="18"/>
      <c r="D6" s="18"/>
      <c r="E6" s="18"/>
      <c r="F6" s="18"/>
      <c r="G6" s="18"/>
      <c r="H6" s="18"/>
      <c r="I6" s="18"/>
      <c r="J6" s="18"/>
      <c r="K6" s="12"/>
      <c r="L6" s="12"/>
      <c r="M6" s="12"/>
      <c r="N6" s="15"/>
      <c r="O6" s="158"/>
    </row>
    <row r="7" spans="1:15" ht="15.75" customHeight="1" thickBot="1">
      <c r="A7" s="16"/>
      <c r="B7" s="238" t="s">
        <v>39</v>
      </c>
      <c r="C7" s="239"/>
      <c r="E7" s="18"/>
      <c r="F7" s="18"/>
      <c r="G7" s="18"/>
      <c r="H7" s="18"/>
      <c r="I7" s="19"/>
      <c r="J7" s="18"/>
      <c r="K7" s="19"/>
      <c r="L7" s="12"/>
      <c r="M7" s="12"/>
      <c r="N7" s="15"/>
      <c r="O7" s="158"/>
    </row>
    <row r="8" spans="1:15" ht="15" customHeight="1">
      <c r="A8" s="16"/>
      <c r="B8" s="87" t="s">
        <v>1</v>
      </c>
      <c r="C8" s="21" t="str">
        <f>'Data Entry'!C7</f>
        <v>UREA</v>
      </c>
      <c r="D8" s="18"/>
      <c r="E8" s="62"/>
      <c r="F8" s="63"/>
      <c r="G8" s="222" t="s">
        <v>106</v>
      </c>
      <c r="H8" s="63"/>
      <c r="I8" s="230" t="s">
        <v>17</v>
      </c>
      <c r="J8" s="231"/>
      <c r="K8" s="231"/>
      <c r="L8" s="231"/>
      <c r="M8" s="231"/>
      <c r="N8" s="64"/>
      <c r="O8" s="158"/>
    </row>
    <row r="9" spans="1:15" ht="13.5">
      <c r="A9" s="16"/>
      <c r="B9" s="20" t="s">
        <v>3</v>
      </c>
      <c r="C9" s="59">
        <f>'Data Entry'!C8</f>
        <v>600</v>
      </c>
      <c r="D9" s="18"/>
      <c r="E9" s="65"/>
      <c r="F9" s="66"/>
      <c r="G9" s="223"/>
      <c r="H9" s="66"/>
      <c r="I9" s="67"/>
      <c r="J9" s="66"/>
      <c r="K9" s="67"/>
      <c r="L9" s="68"/>
      <c r="M9" s="68"/>
      <c r="N9" s="69"/>
      <c r="O9" s="158"/>
    </row>
    <row r="10" spans="1:15" ht="13.5">
      <c r="A10" s="16"/>
      <c r="B10" s="20" t="s">
        <v>4</v>
      </c>
      <c r="C10" s="25">
        <f>'Data Entry'!C9</f>
        <v>46</v>
      </c>
      <c r="D10" s="18"/>
      <c r="E10" s="65"/>
      <c r="F10" s="66"/>
      <c r="G10" s="223"/>
      <c r="H10" s="26">
        <f>K10-C14*3</f>
        <v>3.5</v>
      </c>
      <c r="I10" s="26">
        <f>K10-C14*2</f>
        <v>4</v>
      </c>
      <c r="J10" s="26">
        <f>K10-C14</f>
        <v>4.5</v>
      </c>
      <c r="K10" s="27">
        <f>'Data Entry'!F14</f>
        <v>5</v>
      </c>
      <c r="L10" s="26">
        <f>K10+C14</f>
        <v>5.5</v>
      </c>
      <c r="M10" s="26">
        <f>K10+C14*2</f>
        <v>6</v>
      </c>
      <c r="N10" s="28">
        <f>K10+C14*3</f>
        <v>6.5</v>
      </c>
      <c r="O10" s="158"/>
    </row>
    <row r="11" spans="1:15" ht="13.5">
      <c r="A11" s="16"/>
      <c r="B11" s="20" t="s">
        <v>5</v>
      </c>
      <c r="C11" s="61">
        <f>(C9/((C10/100)*2200))</f>
        <v>0.5928853754940712</v>
      </c>
      <c r="D11" s="18"/>
      <c r="E11" s="65"/>
      <c r="F11" s="66"/>
      <c r="G11" s="29" t="s">
        <v>6</v>
      </c>
      <c r="H11" s="66"/>
      <c r="I11" s="66"/>
      <c r="J11" s="66"/>
      <c r="K11" s="68"/>
      <c r="L11" s="68"/>
      <c r="M11" s="68"/>
      <c r="N11" s="69"/>
      <c r="O11" s="158"/>
    </row>
    <row r="12" spans="1:15" ht="13.5">
      <c r="A12" s="16"/>
      <c r="B12" s="30" t="s">
        <v>20</v>
      </c>
      <c r="C12" s="106">
        <f>'Data Entry'!C11</f>
        <v>10</v>
      </c>
      <c r="D12" s="18"/>
      <c r="E12" s="71"/>
      <c r="F12" s="70" t="s">
        <v>67</v>
      </c>
      <c r="G12" s="70" t="s">
        <v>7</v>
      </c>
      <c r="H12" s="226" t="s">
        <v>8</v>
      </c>
      <c r="I12" s="226"/>
      <c r="J12" s="226"/>
      <c r="K12" s="226"/>
      <c r="L12" s="226"/>
      <c r="M12" s="226"/>
      <c r="N12" s="227"/>
      <c r="O12" s="158"/>
    </row>
    <row r="13" spans="1:19" ht="14.25" thickBot="1">
      <c r="A13" s="16"/>
      <c r="B13" s="33" t="s">
        <v>113</v>
      </c>
      <c r="C13" s="46"/>
      <c r="D13" s="18"/>
      <c r="E13" s="72" t="s">
        <v>9</v>
      </c>
      <c r="F13" s="73" t="s">
        <v>68</v>
      </c>
      <c r="G13" s="73" t="s">
        <v>10</v>
      </c>
      <c r="H13" s="228" t="s">
        <v>18</v>
      </c>
      <c r="I13" s="228"/>
      <c r="J13" s="228"/>
      <c r="K13" s="228"/>
      <c r="L13" s="228"/>
      <c r="M13" s="228"/>
      <c r="N13" s="229"/>
      <c r="O13" s="156"/>
      <c r="P13"/>
      <c r="Q13"/>
      <c r="R13"/>
      <c r="S13"/>
    </row>
    <row r="14" spans="1:19" ht="13.5">
      <c r="A14" s="16"/>
      <c r="B14" s="37" t="s">
        <v>115</v>
      </c>
      <c r="C14" s="61">
        <f>'Data Entry'!C13</f>
        <v>0.5</v>
      </c>
      <c r="D14" s="18"/>
      <c r="E14" s="74" t="s">
        <v>11</v>
      </c>
      <c r="F14" s="75" t="s">
        <v>12</v>
      </c>
      <c r="G14" s="75" t="s">
        <v>12</v>
      </c>
      <c r="H14" s="41">
        <f>H10/$C$11</f>
        <v>5.903333333333333</v>
      </c>
      <c r="I14" s="41">
        <f aca="true" t="shared" si="0" ref="I14:N14">I10/$C$11</f>
        <v>6.746666666666666</v>
      </c>
      <c r="J14" s="41">
        <f t="shared" si="0"/>
        <v>7.59</v>
      </c>
      <c r="K14" s="41">
        <f>K10/$C$11</f>
        <v>8.433333333333334</v>
      </c>
      <c r="L14" s="41">
        <f t="shared" si="0"/>
        <v>9.276666666666666</v>
      </c>
      <c r="M14" s="41">
        <f t="shared" si="0"/>
        <v>10.12</v>
      </c>
      <c r="N14" s="42">
        <f t="shared" si="0"/>
        <v>10.963333333333333</v>
      </c>
      <c r="O14" s="156"/>
      <c r="P14"/>
      <c r="Q14"/>
      <c r="R14"/>
      <c r="S14"/>
    </row>
    <row r="15" spans="1:19" ht="13.5">
      <c r="A15" s="16"/>
      <c r="B15" s="43" t="s">
        <v>28</v>
      </c>
      <c r="C15" s="46"/>
      <c r="D15" s="18"/>
      <c r="E15" s="44">
        <f>IF((E19-4*$C$12)&lt;0,0,(E19-4*$C$12))</f>
        <v>50</v>
      </c>
      <c r="F15" s="128">
        <f>G15+(-0.0015*($C$16)^2+0.4902*($C$16))+24.75</f>
        <v>54.366</v>
      </c>
      <c r="G15" s="128">
        <f>IF(((-0.0015*(E15+$C$16)^2+0.4902*(E15+$C$16))-(-0.0015*($C$16)^2+0.4902*($C$16)))&lt;0,0,(-0.0015*(E15+$C$16)^2+0.4902*(E15+$C$16))-(-0.0015*($C$16)^2+0.4902*($C$16)))</f>
        <v>16.259999999999998</v>
      </c>
      <c r="H15" s="137">
        <f aca="true" t="shared" si="1" ref="H15:N15">(H$10*$G15)-($C$11*($E15))</f>
        <v>27.265731225296438</v>
      </c>
      <c r="I15" s="137">
        <f t="shared" si="1"/>
        <v>35.39573122529643</v>
      </c>
      <c r="J15" s="137">
        <f t="shared" si="1"/>
        <v>43.525731225296425</v>
      </c>
      <c r="K15" s="137">
        <f t="shared" si="1"/>
        <v>51.65573122529642</v>
      </c>
      <c r="L15" s="137">
        <f t="shared" si="1"/>
        <v>59.78573122529643</v>
      </c>
      <c r="M15" s="137">
        <f t="shared" si="1"/>
        <v>67.91573122529643</v>
      </c>
      <c r="N15" s="138">
        <f t="shared" si="1"/>
        <v>76.04573122529642</v>
      </c>
      <c r="O15" s="156"/>
      <c r="P15"/>
      <c r="Q15"/>
      <c r="R15"/>
      <c r="S15"/>
    </row>
    <row r="16" spans="1:19" ht="13.5">
      <c r="A16" s="16"/>
      <c r="B16" s="37" t="s">
        <v>29</v>
      </c>
      <c r="C16" s="107">
        <f>'Data Entry'!C15</f>
        <v>30</v>
      </c>
      <c r="D16" s="18"/>
      <c r="E16" s="44">
        <f>IF((E20-4*$C$12)&lt;0,0,(E20-4*$C$12))</f>
        <v>60</v>
      </c>
      <c r="F16" s="128">
        <f aca="true" t="shared" si="2" ref="F16:F23">G16+(-0.0015*($C$16)^2+0.4902*($C$16))+24.75</f>
        <v>56.718</v>
      </c>
      <c r="G16" s="128">
        <f aca="true" t="shared" si="3" ref="G16:G23">IF(((-0.0015*(E16+$C$16)^2+0.4902*(E16+$C$16))-(-0.0015*($C$16)^2+0.4902*($C$16)))&lt;0,0,(-0.0015*(E16+$C$16)^2+0.4902*(E16+$C$16))-(-0.0015*($C$16)^2+0.4902*($C$16)))</f>
        <v>18.612000000000002</v>
      </c>
      <c r="H16" s="137">
        <f>(H$10*$G16)-($C$11*($E16))</f>
        <v>29.568877470355737</v>
      </c>
      <c r="I16" s="137">
        <f>(I$10*$G16)-($C$11*($E16))</f>
        <v>38.874877470355734</v>
      </c>
      <c r="J16" s="137">
        <f aca="true" t="shared" si="4" ref="J16:N23">(J$10*$G16)-($C$11*($E16))</f>
        <v>48.18087747035573</v>
      </c>
      <c r="K16" s="137">
        <f t="shared" si="4"/>
        <v>57.48687747035573</v>
      </c>
      <c r="L16" s="137">
        <f t="shared" si="4"/>
        <v>66.79287747035573</v>
      </c>
      <c r="M16" s="137">
        <f t="shared" si="4"/>
        <v>76.09887747035575</v>
      </c>
      <c r="N16" s="138">
        <f t="shared" si="4"/>
        <v>85.40487747035573</v>
      </c>
      <c r="O16" s="156"/>
      <c r="P16"/>
      <c r="Q16"/>
      <c r="R16"/>
      <c r="S16"/>
    </row>
    <row r="17" spans="1:19" ht="13.5">
      <c r="A17" s="16"/>
      <c r="B17" s="43" t="s">
        <v>30</v>
      </c>
      <c r="C17" s="46"/>
      <c r="D17" s="18"/>
      <c r="E17" s="44">
        <f>IF((E21-4*$C$12)&lt;0,0,(E21-4*$C$12))</f>
        <v>70</v>
      </c>
      <c r="F17" s="128">
        <f t="shared" si="2"/>
        <v>58.77</v>
      </c>
      <c r="G17" s="128">
        <f t="shared" si="3"/>
        <v>20.664</v>
      </c>
      <c r="H17" s="137">
        <f aca="true" t="shared" si="5" ref="H17:H23">(H$10*$G17)-($C$11*($E17))</f>
        <v>30.82202371541503</v>
      </c>
      <c r="I17" s="137">
        <f aca="true" t="shared" si="6" ref="I17:I23">(I$10*$G17)-($C$11*($E17))</f>
        <v>41.15402371541502</v>
      </c>
      <c r="J17" s="137">
        <f t="shared" si="4"/>
        <v>51.486023715415016</v>
      </c>
      <c r="K17" s="137">
        <f t="shared" si="4"/>
        <v>61.81802371541502</v>
      </c>
      <c r="L17" s="137">
        <f t="shared" si="4"/>
        <v>72.15002371541503</v>
      </c>
      <c r="M17" s="137">
        <f t="shared" si="4"/>
        <v>82.48202371541502</v>
      </c>
      <c r="N17" s="138">
        <f t="shared" si="4"/>
        <v>92.81402371541502</v>
      </c>
      <c r="O17" s="156"/>
      <c r="P17"/>
      <c r="Q17"/>
      <c r="R17"/>
      <c r="S17"/>
    </row>
    <row r="18" spans="1:19" ht="14.25" thickBot="1">
      <c r="A18" s="16"/>
      <c r="B18" s="17"/>
      <c r="C18" s="18"/>
      <c r="D18" s="18"/>
      <c r="E18" s="44">
        <f>IF((E22-4*$C$12)&lt;0,0,(E22-4*$C$12))</f>
        <v>80</v>
      </c>
      <c r="F18" s="128">
        <f t="shared" si="2"/>
        <v>60.522000000000006</v>
      </c>
      <c r="G18" s="128">
        <f t="shared" si="3"/>
        <v>22.416000000000004</v>
      </c>
      <c r="H18" s="137">
        <f t="shared" si="5"/>
        <v>31.025169960474322</v>
      </c>
      <c r="I18" s="137">
        <f t="shared" si="6"/>
        <v>42.23316996047432</v>
      </c>
      <c r="J18" s="137">
        <f t="shared" si="4"/>
        <v>53.44116996047432</v>
      </c>
      <c r="K18" s="137">
        <f>(K$10*$G18)-($C$11*($E18))</f>
        <v>64.64916996047432</v>
      </c>
      <c r="L18" s="137">
        <f t="shared" si="4"/>
        <v>75.85716996047432</v>
      </c>
      <c r="M18" s="137">
        <f t="shared" si="4"/>
        <v>87.06516996047435</v>
      </c>
      <c r="N18" s="138">
        <f t="shared" si="4"/>
        <v>98.27316996047435</v>
      </c>
      <c r="O18" s="156"/>
      <c r="P18"/>
      <c r="Q18"/>
      <c r="R18"/>
      <c r="S18"/>
    </row>
    <row r="19" spans="1:19" ht="14.25" thickBot="1">
      <c r="A19" s="16"/>
      <c r="B19" s="47"/>
      <c r="C19" s="48"/>
      <c r="D19" s="49" t="s">
        <v>13</v>
      </c>
      <c r="E19" s="50">
        <f>'Data Entry'!F9</f>
        <v>90</v>
      </c>
      <c r="F19" s="197">
        <f t="shared" si="2"/>
        <v>61.974000000000004</v>
      </c>
      <c r="G19" s="128">
        <f t="shared" si="3"/>
        <v>23.868000000000002</v>
      </c>
      <c r="H19" s="137">
        <f t="shared" si="5"/>
        <v>30.178316205533605</v>
      </c>
      <c r="I19" s="137">
        <f t="shared" si="6"/>
        <v>42.1123162055336</v>
      </c>
      <c r="J19" s="137">
        <f t="shared" si="4"/>
        <v>54.0463162055336</v>
      </c>
      <c r="K19" s="137">
        <f t="shared" si="4"/>
        <v>65.9803162055336</v>
      </c>
      <c r="L19" s="137">
        <f t="shared" si="4"/>
        <v>77.9143162055336</v>
      </c>
      <c r="M19" s="137">
        <f t="shared" si="4"/>
        <v>89.84831620553362</v>
      </c>
      <c r="N19" s="138">
        <f t="shared" si="4"/>
        <v>101.78231620553362</v>
      </c>
      <c r="O19" s="156"/>
      <c r="P19"/>
      <c r="Q19"/>
      <c r="R19"/>
      <c r="S19"/>
    </row>
    <row r="20" spans="1:19" ht="13.5">
      <c r="A20" s="16"/>
      <c r="B20" s="17"/>
      <c r="C20" s="18"/>
      <c r="D20" s="18"/>
      <c r="E20" s="51">
        <f>E19+C12</f>
        <v>100</v>
      </c>
      <c r="F20" s="128">
        <f t="shared" si="2"/>
        <v>63.126000000000005</v>
      </c>
      <c r="G20" s="128">
        <f t="shared" si="3"/>
        <v>25.020000000000003</v>
      </c>
      <c r="H20" s="137">
        <f t="shared" si="5"/>
        <v>28.28146245059289</v>
      </c>
      <c r="I20" s="137">
        <f t="shared" si="6"/>
        <v>40.791462450592896</v>
      </c>
      <c r="J20" s="137">
        <f t="shared" si="4"/>
        <v>53.3014624505929</v>
      </c>
      <c r="K20" s="137">
        <f t="shared" si="4"/>
        <v>65.8114624505929</v>
      </c>
      <c r="L20" s="137">
        <f t="shared" si="4"/>
        <v>78.32146245059289</v>
      </c>
      <c r="M20" s="137">
        <f t="shared" si="4"/>
        <v>90.83146245059288</v>
      </c>
      <c r="N20" s="138">
        <f t="shared" si="4"/>
        <v>103.3414624505929</v>
      </c>
      <c r="O20" s="156"/>
      <c r="P20"/>
      <c r="Q20"/>
      <c r="R20"/>
      <c r="S20"/>
    </row>
    <row r="21" spans="1:19" ht="13.5">
      <c r="A21" s="16"/>
      <c r="B21" s="17"/>
      <c r="C21" s="52"/>
      <c r="D21" s="18"/>
      <c r="E21" s="51">
        <f>E19+2*C12</f>
        <v>110</v>
      </c>
      <c r="F21" s="128">
        <f t="shared" si="2"/>
        <v>63.977999999999994</v>
      </c>
      <c r="G21" s="128">
        <f t="shared" si="3"/>
        <v>25.871999999999993</v>
      </c>
      <c r="H21" s="137">
        <f t="shared" si="5"/>
        <v>25.33460869565215</v>
      </c>
      <c r="I21" s="137">
        <f t="shared" si="6"/>
        <v>38.27060869565214</v>
      </c>
      <c r="J21" s="137">
        <f t="shared" si="4"/>
        <v>51.206608695652136</v>
      </c>
      <c r="K21" s="137">
        <f t="shared" si="4"/>
        <v>64.14260869565213</v>
      </c>
      <c r="L21" s="137">
        <f t="shared" si="4"/>
        <v>77.07860869565214</v>
      </c>
      <c r="M21" s="137">
        <f t="shared" si="4"/>
        <v>90.01460869565214</v>
      </c>
      <c r="N21" s="138">
        <f t="shared" si="4"/>
        <v>102.95060869565212</v>
      </c>
      <c r="O21" s="156"/>
      <c r="P21"/>
      <c r="Q21"/>
      <c r="R21"/>
      <c r="S21"/>
    </row>
    <row r="22" spans="1:19" ht="13.5">
      <c r="A22" s="16"/>
      <c r="B22" s="17"/>
      <c r="C22" s="18"/>
      <c r="D22" s="18"/>
      <c r="E22" s="51">
        <f>E19+3*C12</f>
        <v>120</v>
      </c>
      <c r="F22" s="128">
        <f t="shared" si="2"/>
        <v>64.53</v>
      </c>
      <c r="G22" s="128">
        <f t="shared" si="3"/>
        <v>26.424</v>
      </c>
      <c r="H22" s="137">
        <f t="shared" si="5"/>
        <v>21.33775494071145</v>
      </c>
      <c r="I22" s="137">
        <f t="shared" si="6"/>
        <v>34.54975494071145</v>
      </c>
      <c r="J22" s="137">
        <f t="shared" si="4"/>
        <v>47.761754940711455</v>
      </c>
      <c r="K22" s="137">
        <f t="shared" si="4"/>
        <v>60.97375494071146</v>
      </c>
      <c r="L22" s="137">
        <f t="shared" si="4"/>
        <v>74.18575494071145</v>
      </c>
      <c r="M22" s="137">
        <f t="shared" si="4"/>
        <v>87.39775494071144</v>
      </c>
      <c r="N22" s="138">
        <f t="shared" si="4"/>
        <v>100.60975494071145</v>
      </c>
      <c r="O22" s="156"/>
      <c r="P22"/>
      <c r="Q22"/>
      <c r="R22"/>
      <c r="S22"/>
    </row>
    <row r="23" spans="1:19" ht="13.5">
      <c r="A23" s="16"/>
      <c r="B23" s="17"/>
      <c r="C23" s="18"/>
      <c r="D23" s="18"/>
      <c r="E23" s="51">
        <f>E19+4*C12</f>
        <v>130</v>
      </c>
      <c r="F23" s="128">
        <f t="shared" si="2"/>
        <v>64.78200000000001</v>
      </c>
      <c r="G23" s="128">
        <f t="shared" si="3"/>
        <v>26.676000000000002</v>
      </c>
      <c r="H23" s="137">
        <f t="shared" si="5"/>
        <v>16.290901185770764</v>
      </c>
      <c r="I23" s="137">
        <f t="shared" si="6"/>
        <v>29.628901185770758</v>
      </c>
      <c r="J23" s="137">
        <f t="shared" si="4"/>
        <v>42.96690118577075</v>
      </c>
      <c r="K23" s="137">
        <f t="shared" si="4"/>
        <v>56.304901185770746</v>
      </c>
      <c r="L23" s="137">
        <f t="shared" si="4"/>
        <v>69.64290118577077</v>
      </c>
      <c r="M23" s="137">
        <f t="shared" si="4"/>
        <v>82.98090118577076</v>
      </c>
      <c r="N23" s="138">
        <f t="shared" si="4"/>
        <v>96.31890118577076</v>
      </c>
      <c r="O23" s="156"/>
      <c r="P23"/>
      <c r="Q23"/>
      <c r="R23"/>
      <c r="S23"/>
    </row>
    <row r="24" spans="1:19" ht="11.25" customHeight="1">
      <c r="A24" s="16"/>
      <c r="B24" s="17"/>
      <c r="C24" s="18"/>
      <c r="D24" s="18"/>
      <c r="E24" s="232" t="s">
        <v>50</v>
      </c>
      <c r="F24" s="233"/>
      <c r="G24" s="233"/>
      <c r="H24" s="233"/>
      <c r="I24" s="233"/>
      <c r="J24" s="233"/>
      <c r="K24" s="233"/>
      <c r="L24" s="233"/>
      <c r="M24" s="233"/>
      <c r="N24" s="234"/>
      <c r="O24" s="156"/>
      <c r="P24"/>
      <c r="Q24"/>
      <c r="R24"/>
      <c r="S24"/>
    </row>
    <row r="25" spans="1:19" ht="11.25" customHeight="1">
      <c r="A25" s="16"/>
      <c r="B25" s="17"/>
      <c r="C25" s="18"/>
      <c r="D25" s="18"/>
      <c r="E25" s="235" t="s">
        <v>16</v>
      </c>
      <c r="F25" s="236"/>
      <c r="G25" s="236"/>
      <c r="H25" s="236"/>
      <c r="I25" s="236"/>
      <c r="J25" s="236"/>
      <c r="K25" s="236"/>
      <c r="L25" s="236"/>
      <c r="M25" s="236"/>
      <c r="N25" s="237"/>
      <c r="O25" s="156"/>
      <c r="P25"/>
      <c r="Q25"/>
      <c r="R25"/>
      <c r="S25"/>
    </row>
    <row r="26" spans="1:19" ht="11.25" customHeight="1">
      <c r="A26" s="16"/>
      <c r="B26" s="17"/>
      <c r="C26" s="18"/>
      <c r="D26" s="18"/>
      <c r="E26" s="235" t="s">
        <v>19</v>
      </c>
      <c r="F26" s="236"/>
      <c r="G26" s="236"/>
      <c r="H26" s="236"/>
      <c r="I26" s="236"/>
      <c r="J26" s="236"/>
      <c r="K26" s="236"/>
      <c r="L26" s="236"/>
      <c r="M26" s="236"/>
      <c r="N26" s="237"/>
      <c r="O26" s="156"/>
      <c r="P26"/>
      <c r="Q26"/>
      <c r="R26"/>
      <c r="S26"/>
    </row>
    <row r="27" spans="1:19" ht="11.25" customHeight="1">
      <c r="A27" s="16"/>
      <c r="B27" s="17"/>
      <c r="C27" s="18"/>
      <c r="D27" s="18"/>
      <c r="E27" s="245" t="s">
        <v>89</v>
      </c>
      <c r="F27" s="246"/>
      <c r="G27" s="246"/>
      <c r="H27" s="246"/>
      <c r="I27" s="246"/>
      <c r="J27" s="246"/>
      <c r="K27" s="247"/>
      <c r="L27" s="247"/>
      <c r="M27" s="247"/>
      <c r="N27" s="248"/>
      <c r="O27" s="156"/>
      <c r="P27"/>
      <c r="Q27"/>
      <c r="R27"/>
      <c r="S27"/>
    </row>
    <row r="28" spans="1:19" ht="11.25" customHeight="1" thickBot="1">
      <c r="A28" s="16"/>
      <c r="B28" s="17"/>
      <c r="C28" s="18"/>
      <c r="D28" s="18"/>
      <c r="E28" s="240" t="s">
        <v>38</v>
      </c>
      <c r="F28" s="241"/>
      <c r="G28" s="242"/>
      <c r="H28" s="242"/>
      <c r="I28" s="242"/>
      <c r="J28" s="242"/>
      <c r="K28" s="243"/>
      <c r="L28" s="243"/>
      <c r="M28" s="243"/>
      <c r="N28" s="244"/>
      <c r="O28" s="156"/>
      <c r="P28"/>
      <c r="Q28"/>
      <c r="R28"/>
      <c r="S28"/>
    </row>
    <row r="29" spans="1:24" ht="11.25" customHeight="1">
      <c r="A29" s="16"/>
      <c r="B29" s="17"/>
      <c r="C29" s="18"/>
      <c r="D29" s="18"/>
      <c r="E29" s="53"/>
      <c r="F29" s="53"/>
      <c r="G29" s="53"/>
      <c r="H29" s="53"/>
      <c r="I29" s="53"/>
      <c r="J29" s="53"/>
      <c r="K29" s="12"/>
      <c r="L29" s="12"/>
      <c r="M29" s="12"/>
      <c r="N29" s="15"/>
      <c r="O29" s="156"/>
      <c r="P29"/>
      <c r="Q29"/>
      <c r="R29"/>
      <c r="S29"/>
      <c r="T29"/>
      <c r="U29"/>
      <c r="V29"/>
      <c r="W29"/>
      <c r="X29"/>
    </row>
    <row r="30" spans="2:24" ht="11.25" customHeight="1" thickBot="1">
      <c r="B30" s="224"/>
      <c r="C30" s="225"/>
      <c r="D30" s="225"/>
      <c r="E30" s="225"/>
      <c r="F30" s="225"/>
      <c r="G30" s="225"/>
      <c r="H30" s="225"/>
      <c r="I30" s="225"/>
      <c r="J30" s="225"/>
      <c r="K30" s="55"/>
      <c r="L30" s="55"/>
      <c r="M30" s="55"/>
      <c r="N30" s="56"/>
      <c r="O30" s="156"/>
      <c r="P30"/>
      <c r="Q30"/>
      <c r="R30"/>
      <c r="S30"/>
      <c r="T30"/>
      <c r="U30"/>
      <c r="V30"/>
      <c r="W30"/>
      <c r="X30"/>
    </row>
    <row r="31" spans="1:15" ht="4.5" customHeight="1" thickBot="1">
      <c r="A31" s="16"/>
      <c r="B31" s="17"/>
      <c r="C31" s="18"/>
      <c r="D31" s="18"/>
      <c r="E31" s="18"/>
      <c r="F31" s="18"/>
      <c r="G31" s="18"/>
      <c r="H31" s="18"/>
      <c r="I31" s="18"/>
      <c r="J31" s="18"/>
      <c r="K31" s="12"/>
      <c r="L31" s="12"/>
      <c r="M31" s="12"/>
      <c r="N31" s="15"/>
      <c r="O31" s="158"/>
    </row>
    <row r="32" spans="1:15" ht="15.75" customHeight="1" thickBot="1">
      <c r="A32" s="16"/>
      <c r="B32" s="238" t="s">
        <v>39</v>
      </c>
      <c r="C32" s="239"/>
      <c r="E32" s="18"/>
      <c r="F32" s="18"/>
      <c r="G32" s="18"/>
      <c r="H32" s="18"/>
      <c r="I32" s="19"/>
      <c r="J32" s="18"/>
      <c r="K32" s="19"/>
      <c r="L32" s="12"/>
      <c r="M32" s="12"/>
      <c r="N32" s="15"/>
      <c r="O32" s="158"/>
    </row>
    <row r="33" spans="1:15" ht="15" customHeight="1">
      <c r="A33" s="16"/>
      <c r="B33" s="87" t="s">
        <v>1</v>
      </c>
      <c r="C33" s="172" t="str">
        <f>'Data Entry'!C7</f>
        <v>UREA</v>
      </c>
      <c r="D33" s="18"/>
      <c r="F33" s="62"/>
      <c r="G33" s="222" t="s">
        <v>108</v>
      </c>
      <c r="H33" s="63"/>
      <c r="I33" s="230" t="s">
        <v>17</v>
      </c>
      <c r="J33" s="231"/>
      <c r="K33" s="231"/>
      <c r="L33" s="231"/>
      <c r="M33" s="231"/>
      <c r="N33" s="64"/>
      <c r="O33" s="158"/>
    </row>
    <row r="34" spans="1:15" ht="15" customHeight="1">
      <c r="A34" s="16"/>
      <c r="B34" s="20" t="s">
        <v>3</v>
      </c>
      <c r="C34" s="59">
        <f>'Data Entry'!C8</f>
        <v>600</v>
      </c>
      <c r="D34" s="18"/>
      <c r="F34" s="65"/>
      <c r="G34" s="223"/>
      <c r="H34" s="66"/>
      <c r="I34" s="67"/>
      <c r="J34" s="66"/>
      <c r="K34" s="67"/>
      <c r="L34" s="68"/>
      <c r="M34" s="68"/>
      <c r="N34" s="69"/>
      <c r="O34" s="158"/>
    </row>
    <row r="35" spans="1:15" ht="13.5">
      <c r="A35" s="16"/>
      <c r="B35" s="20" t="s">
        <v>4</v>
      </c>
      <c r="C35" s="25">
        <f>'Data Entry'!C9</f>
        <v>46</v>
      </c>
      <c r="D35" s="18"/>
      <c r="F35" s="65"/>
      <c r="G35" s="223"/>
      <c r="H35" s="26">
        <f>K35-C39*3</f>
        <v>3.5</v>
      </c>
      <c r="I35" s="26">
        <f>K35-C39*2</f>
        <v>4</v>
      </c>
      <c r="J35" s="26">
        <f>K35-C39</f>
        <v>4.5</v>
      </c>
      <c r="K35" s="27">
        <f>'Data Entry'!F14</f>
        <v>5</v>
      </c>
      <c r="L35" s="26">
        <f>K35+C39</f>
        <v>5.5</v>
      </c>
      <c r="M35" s="26">
        <f>K35+C39*2</f>
        <v>6</v>
      </c>
      <c r="N35" s="28">
        <f>K35+C39*3</f>
        <v>6.5</v>
      </c>
      <c r="O35" s="158"/>
    </row>
    <row r="36" spans="1:15" ht="13.5">
      <c r="A36" s="16"/>
      <c r="B36" s="20" t="s">
        <v>5</v>
      </c>
      <c r="C36" s="61">
        <f>(C34/((C35/100)*2200))</f>
        <v>0.5928853754940712</v>
      </c>
      <c r="D36" s="18"/>
      <c r="F36" s="65"/>
      <c r="G36" s="29" t="s">
        <v>6</v>
      </c>
      <c r="H36" s="66"/>
      <c r="I36" s="66"/>
      <c r="J36" s="66"/>
      <c r="K36" s="68"/>
      <c r="L36" s="68"/>
      <c r="M36" s="68"/>
      <c r="N36" s="69"/>
      <c r="O36" s="158"/>
    </row>
    <row r="37" spans="1:15" ht="13.5">
      <c r="A37" s="16"/>
      <c r="B37" s="30" t="s">
        <v>20</v>
      </c>
      <c r="C37" s="106">
        <f>'Data Entry'!C11</f>
        <v>10</v>
      </c>
      <c r="D37" s="18"/>
      <c r="F37" s="71"/>
      <c r="G37" s="70" t="s">
        <v>7</v>
      </c>
      <c r="H37" s="226" t="s">
        <v>104</v>
      </c>
      <c r="I37" s="226"/>
      <c r="J37" s="226"/>
      <c r="K37" s="226"/>
      <c r="L37" s="226"/>
      <c r="M37" s="226"/>
      <c r="N37" s="227"/>
      <c r="O37" s="158"/>
    </row>
    <row r="38" spans="1:19" ht="14.25" thickBot="1">
      <c r="A38" s="16"/>
      <c r="B38" s="33" t="s">
        <v>113</v>
      </c>
      <c r="C38" s="46"/>
      <c r="D38" s="18"/>
      <c r="F38" s="72" t="s">
        <v>9</v>
      </c>
      <c r="G38" s="73" t="s">
        <v>10</v>
      </c>
      <c r="H38" s="228" t="s">
        <v>18</v>
      </c>
      <c r="I38" s="228"/>
      <c r="J38" s="228"/>
      <c r="K38" s="228"/>
      <c r="L38" s="228"/>
      <c r="M38" s="228"/>
      <c r="N38" s="229"/>
      <c r="O38" s="156"/>
      <c r="P38"/>
      <c r="Q38"/>
      <c r="R38"/>
      <c r="S38"/>
    </row>
    <row r="39" spans="1:19" ht="13.5">
      <c r="A39" s="16"/>
      <c r="B39" s="37" t="s">
        <v>115</v>
      </c>
      <c r="C39" s="61">
        <f>'Data Entry'!C13</f>
        <v>0.5</v>
      </c>
      <c r="D39" s="18"/>
      <c r="F39" s="74" t="s">
        <v>11</v>
      </c>
      <c r="G39" s="75" t="s">
        <v>12</v>
      </c>
      <c r="H39" s="41">
        <f aca="true" t="shared" si="7" ref="H39:N39">H35/$C$11</f>
        <v>5.903333333333333</v>
      </c>
      <c r="I39" s="41">
        <f t="shared" si="7"/>
        <v>6.746666666666666</v>
      </c>
      <c r="J39" s="41">
        <f t="shared" si="7"/>
        <v>7.59</v>
      </c>
      <c r="K39" s="41">
        <f t="shared" si="7"/>
        <v>8.433333333333334</v>
      </c>
      <c r="L39" s="41">
        <f t="shared" si="7"/>
        <v>9.276666666666666</v>
      </c>
      <c r="M39" s="41">
        <f t="shared" si="7"/>
        <v>10.12</v>
      </c>
      <c r="N39" s="42">
        <f t="shared" si="7"/>
        <v>10.963333333333333</v>
      </c>
      <c r="O39" s="156"/>
      <c r="P39"/>
      <c r="Q39"/>
      <c r="R39"/>
      <c r="S39"/>
    </row>
    <row r="40" spans="1:19" ht="13.5">
      <c r="A40" s="16"/>
      <c r="B40" s="43" t="s">
        <v>28</v>
      </c>
      <c r="C40" s="46"/>
      <c r="D40" s="18"/>
      <c r="F40" s="195">
        <f>IF((F44-4*$C$12)&lt;0,0,(F44-4*$C$12))</f>
        <v>50</v>
      </c>
      <c r="G40" s="128">
        <f>G15+(-0.0015*($C$16)^2+0.4902*($C$16))+24.75</f>
        <v>54.366</v>
      </c>
      <c r="H40" s="137">
        <f aca="true" t="shared" si="8" ref="H40:N40">(H$10*$G40)-($C$11*($F40))</f>
        <v>160.63673122529644</v>
      </c>
      <c r="I40" s="137">
        <f t="shared" si="8"/>
        <v>187.81973122529644</v>
      </c>
      <c r="J40" s="137">
        <f t="shared" si="8"/>
        <v>215.00273122529643</v>
      </c>
      <c r="K40" s="137">
        <f t="shared" si="8"/>
        <v>242.18573122529642</v>
      </c>
      <c r="L40" s="137">
        <f t="shared" si="8"/>
        <v>269.3687312252964</v>
      </c>
      <c r="M40" s="137">
        <f t="shared" si="8"/>
        <v>296.55173122529646</v>
      </c>
      <c r="N40" s="138">
        <f t="shared" si="8"/>
        <v>323.73473122529646</v>
      </c>
      <c r="O40" s="156"/>
      <c r="P40"/>
      <c r="Q40"/>
      <c r="R40"/>
      <c r="S40"/>
    </row>
    <row r="41" spans="1:19" ht="13.5">
      <c r="A41" s="16"/>
      <c r="B41" s="37" t="s">
        <v>29</v>
      </c>
      <c r="C41" s="107">
        <f>'Data Entry'!C15</f>
        <v>30</v>
      </c>
      <c r="D41" s="18"/>
      <c r="F41" s="195">
        <f>IF((F45-4*$C$12)&lt;0,0,(F45-4*$C$12))</f>
        <v>60</v>
      </c>
      <c r="G41" s="128">
        <f aca="true" t="shared" si="9" ref="G41:G48">G16+(-0.0015*($C$16)^2+0.4902*($C$16))+24.75</f>
        <v>56.718</v>
      </c>
      <c r="H41" s="137">
        <f aca="true" t="shared" si="10" ref="H41:H48">(H$10*$G41)-($C$11*($F41))</f>
        <v>162.93987747035573</v>
      </c>
      <c r="I41" s="137">
        <f aca="true" t="shared" si="11" ref="I41:N48">(I$10*$G41)-($C$11*($F41))</f>
        <v>191.29887747035573</v>
      </c>
      <c r="J41" s="137">
        <f t="shared" si="11"/>
        <v>219.65787747035574</v>
      </c>
      <c r="K41" s="137">
        <f t="shared" si="11"/>
        <v>248.01687747035575</v>
      </c>
      <c r="L41" s="137">
        <f t="shared" si="11"/>
        <v>276.37587747035576</v>
      </c>
      <c r="M41" s="137">
        <f t="shared" si="11"/>
        <v>304.73487747035574</v>
      </c>
      <c r="N41" s="138">
        <f t="shared" si="11"/>
        <v>333.0938774703558</v>
      </c>
      <c r="O41" s="156"/>
      <c r="P41"/>
      <c r="Q41"/>
      <c r="R41"/>
      <c r="S41"/>
    </row>
    <row r="42" spans="1:19" ht="13.5">
      <c r="A42" s="16"/>
      <c r="B42" s="43" t="s">
        <v>30</v>
      </c>
      <c r="C42" s="46"/>
      <c r="D42" s="18"/>
      <c r="F42" s="195">
        <f>IF((F46-4*$C$12)&lt;0,0,(F46-4*$C$12))</f>
        <v>70</v>
      </c>
      <c r="G42" s="128">
        <f t="shared" si="9"/>
        <v>58.77</v>
      </c>
      <c r="H42" s="137">
        <f t="shared" si="10"/>
        <v>164.19302371541505</v>
      </c>
      <c r="I42" s="137">
        <f t="shared" si="11"/>
        <v>193.57802371541504</v>
      </c>
      <c r="J42" s="137">
        <f t="shared" si="11"/>
        <v>222.96302371541503</v>
      </c>
      <c r="K42" s="137">
        <f t="shared" si="11"/>
        <v>252.34802371541502</v>
      </c>
      <c r="L42" s="137">
        <f t="shared" si="11"/>
        <v>281.733023715415</v>
      </c>
      <c r="M42" s="137">
        <f t="shared" si="11"/>
        <v>311.118023715415</v>
      </c>
      <c r="N42" s="138">
        <f t="shared" si="11"/>
        <v>340.503023715415</v>
      </c>
      <c r="O42" s="156"/>
      <c r="P42"/>
      <c r="Q42"/>
      <c r="R42"/>
      <c r="S42"/>
    </row>
    <row r="43" spans="1:19" ht="14.25" thickBot="1">
      <c r="A43" s="16"/>
      <c r="B43" s="17"/>
      <c r="C43" s="18"/>
      <c r="D43" s="18"/>
      <c r="F43" s="198">
        <f>IF((F47-4*$C$12)&lt;0,0,(F47-4*$C$12))</f>
        <v>80</v>
      </c>
      <c r="G43" s="128">
        <f t="shared" si="9"/>
        <v>60.522000000000006</v>
      </c>
      <c r="H43" s="137">
        <f t="shared" si="10"/>
        <v>164.39616996047434</v>
      </c>
      <c r="I43" s="137">
        <f t="shared" si="11"/>
        <v>194.65716996047433</v>
      </c>
      <c r="J43" s="137">
        <f t="shared" si="11"/>
        <v>224.91816996047436</v>
      </c>
      <c r="K43" s="137">
        <f t="shared" si="11"/>
        <v>255.17916996047433</v>
      </c>
      <c r="L43" s="137">
        <f t="shared" si="11"/>
        <v>285.44016996047435</v>
      </c>
      <c r="M43" s="137">
        <f t="shared" si="11"/>
        <v>315.7011699604744</v>
      </c>
      <c r="N43" s="138">
        <f t="shared" si="11"/>
        <v>345.96216996047434</v>
      </c>
      <c r="O43" s="156"/>
      <c r="P43"/>
      <c r="Q43"/>
      <c r="R43"/>
      <c r="S43"/>
    </row>
    <row r="44" spans="1:19" ht="14.25" thickBot="1">
      <c r="A44" s="16"/>
      <c r="B44" s="47"/>
      <c r="C44" s="48"/>
      <c r="E44" s="49" t="s">
        <v>13</v>
      </c>
      <c r="F44" s="50">
        <f>'Data Entry'!F9</f>
        <v>90</v>
      </c>
      <c r="G44" s="197">
        <f t="shared" si="9"/>
        <v>61.974000000000004</v>
      </c>
      <c r="H44" s="137">
        <f t="shared" si="10"/>
        <v>163.54931620553361</v>
      </c>
      <c r="I44" s="137">
        <f t="shared" si="11"/>
        <v>194.5363162055336</v>
      </c>
      <c r="J44" s="137">
        <f t="shared" si="11"/>
        <v>225.52331620553363</v>
      </c>
      <c r="K44" s="137">
        <f t="shared" si="11"/>
        <v>256.5103162055336</v>
      </c>
      <c r="L44" s="137">
        <f t="shared" si="11"/>
        <v>287.4973162055336</v>
      </c>
      <c r="M44" s="137">
        <f t="shared" si="11"/>
        <v>318.4843162055337</v>
      </c>
      <c r="N44" s="138">
        <f t="shared" si="11"/>
        <v>349.47131620553364</v>
      </c>
      <c r="O44" s="156"/>
      <c r="P44"/>
      <c r="Q44"/>
      <c r="R44"/>
      <c r="S44"/>
    </row>
    <row r="45" spans="1:19" ht="13.5">
      <c r="A45" s="16"/>
      <c r="B45" s="17"/>
      <c r="C45" s="18"/>
      <c r="D45" s="18"/>
      <c r="F45" s="199">
        <f>F44+C37</f>
        <v>100</v>
      </c>
      <c r="G45" s="128">
        <f t="shared" si="9"/>
        <v>63.126000000000005</v>
      </c>
      <c r="H45" s="137">
        <f t="shared" si="10"/>
        <v>161.6524624505929</v>
      </c>
      <c r="I45" s="137">
        <f t="shared" si="11"/>
        <v>193.2154624505929</v>
      </c>
      <c r="J45" s="137">
        <f t="shared" si="11"/>
        <v>224.77846245059288</v>
      </c>
      <c r="K45" s="137">
        <f t="shared" si="11"/>
        <v>256.34146245059287</v>
      </c>
      <c r="L45" s="137">
        <f t="shared" si="11"/>
        <v>287.9044624505929</v>
      </c>
      <c r="M45" s="137">
        <f t="shared" si="11"/>
        <v>319.4674624505929</v>
      </c>
      <c r="N45" s="138">
        <f t="shared" si="11"/>
        <v>351.0304624505929</v>
      </c>
      <c r="O45" s="156"/>
      <c r="P45"/>
      <c r="Q45"/>
      <c r="R45"/>
      <c r="S45"/>
    </row>
    <row r="46" spans="1:19" ht="13.5">
      <c r="A46" s="16"/>
      <c r="B46" s="17"/>
      <c r="C46" s="52"/>
      <c r="D46" s="18"/>
      <c r="F46" s="195">
        <f>F44+2*C37</f>
        <v>110</v>
      </c>
      <c r="G46" s="128">
        <f t="shared" si="9"/>
        <v>63.977999999999994</v>
      </c>
      <c r="H46" s="137">
        <f t="shared" si="10"/>
        <v>158.70560869565213</v>
      </c>
      <c r="I46" s="137">
        <f t="shared" si="11"/>
        <v>190.69460869565216</v>
      </c>
      <c r="J46" s="137">
        <f t="shared" si="11"/>
        <v>222.68360869565214</v>
      </c>
      <c r="K46" s="137">
        <f t="shared" si="11"/>
        <v>254.67260869565217</v>
      </c>
      <c r="L46" s="137">
        <f t="shared" si="11"/>
        <v>286.66160869565215</v>
      </c>
      <c r="M46" s="137">
        <f t="shared" si="11"/>
        <v>318.6506086956521</v>
      </c>
      <c r="N46" s="138">
        <f t="shared" si="11"/>
        <v>350.63960869565216</v>
      </c>
      <c r="O46" s="156"/>
      <c r="P46"/>
      <c r="Q46"/>
      <c r="R46"/>
      <c r="S46"/>
    </row>
    <row r="47" spans="1:19" ht="13.5">
      <c r="A47" s="16"/>
      <c r="B47" s="17"/>
      <c r="C47" s="18"/>
      <c r="D47" s="18"/>
      <c r="F47" s="195">
        <f>F44+3*C37</f>
        <v>120</v>
      </c>
      <c r="G47" s="128">
        <f t="shared" si="9"/>
        <v>64.53</v>
      </c>
      <c r="H47" s="137">
        <f t="shared" si="10"/>
        <v>154.70875494071146</v>
      </c>
      <c r="I47" s="137">
        <f t="shared" si="11"/>
        <v>186.97375494071144</v>
      </c>
      <c r="J47" s="137">
        <f t="shared" si="11"/>
        <v>219.23875494071143</v>
      </c>
      <c r="K47" s="137">
        <f t="shared" si="11"/>
        <v>251.50375494071142</v>
      </c>
      <c r="L47" s="137">
        <f t="shared" si="11"/>
        <v>283.76875494071146</v>
      </c>
      <c r="M47" s="137">
        <f t="shared" si="11"/>
        <v>316.03375494071145</v>
      </c>
      <c r="N47" s="138">
        <f t="shared" si="11"/>
        <v>348.29875494071143</v>
      </c>
      <c r="O47" s="156"/>
      <c r="P47"/>
      <c r="Q47"/>
      <c r="R47"/>
      <c r="S47"/>
    </row>
    <row r="48" spans="1:19" ht="13.5">
      <c r="A48" s="16"/>
      <c r="B48" s="17"/>
      <c r="C48" s="18"/>
      <c r="D48" s="18"/>
      <c r="F48" s="195">
        <f>F44+4*C37</f>
        <v>130</v>
      </c>
      <c r="G48" s="128">
        <f t="shared" si="9"/>
        <v>64.78200000000001</v>
      </c>
      <c r="H48" s="137">
        <f t="shared" si="10"/>
        <v>149.66190118577077</v>
      </c>
      <c r="I48" s="137">
        <f t="shared" si="11"/>
        <v>182.0529011857708</v>
      </c>
      <c r="J48" s="137">
        <f t="shared" si="11"/>
        <v>214.4439011857708</v>
      </c>
      <c r="K48" s="137">
        <f t="shared" si="11"/>
        <v>246.83490118577083</v>
      </c>
      <c r="L48" s="137">
        <f t="shared" si="11"/>
        <v>279.2259011857708</v>
      </c>
      <c r="M48" s="137">
        <f t="shared" si="11"/>
        <v>311.6169011857708</v>
      </c>
      <c r="N48" s="138">
        <f t="shared" si="11"/>
        <v>344.00790118577083</v>
      </c>
      <c r="O48" s="156"/>
      <c r="P48"/>
      <c r="Q48"/>
      <c r="R48"/>
      <c r="S48"/>
    </row>
    <row r="49" spans="1:19" ht="11.25" customHeight="1">
      <c r="A49" s="16"/>
      <c r="B49" s="17"/>
      <c r="C49" s="18"/>
      <c r="D49" s="18"/>
      <c r="F49" s="185" t="s">
        <v>50</v>
      </c>
      <c r="G49" s="186"/>
      <c r="H49" s="186"/>
      <c r="I49" s="186"/>
      <c r="J49" s="186"/>
      <c r="K49" s="186"/>
      <c r="L49" s="186"/>
      <c r="M49" s="186"/>
      <c r="N49" s="187"/>
      <c r="O49" s="156"/>
      <c r="P49"/>
      <c r="Q49"/>
      <c r="R49"/>
      <c r="S49"/>
    </row>
    <row r="50" spans="1:19" ht="11.25" customHeight="1">
      <c r="A50" s="16"/>
      <c r="B50" s="17"/>
      <c r="C50" s="18"/>
      <c r="D50" s="18"/>
      <c r="F50" s="188" t="s">
        <v>16</v>
      </c>
      <c r="G50" s="189"/>
      <c r="H50" s="189"/>
      <c r="I50" s="189"/>
      <c r="J50" s="189"/>
      <c r="K50" s="189"/>
      <c r="L50" s="189"/>
      <c r="M50" s="189"/>
      <c r="N50" s="190"/>
      <c r="O50" s="156"/>
      <c r="P50"/>
      <c r="Q50"/>
      <c r="R50"/>
      <c r="S50"/>
    </row>
    <row r="51" spans="1:19" ht="11.25" customHeight="1">
      <c r="A51" s="16"/>
      <c r="B51" s="17"/>
      <c r="C51" s="18"/>
      <c r="D51" s="18"/>
      <c r="F51" s="188" t="s">
        <v>105</v>
      </c>
      <c r="G51" s="189"/>
      <c r="H51" s="189"/>
      <c r="I51" s="189"/>
      <c r="J51" s="189"/>
      <c r="K51" s="189"/>
      <c r="L51" s="189"/>
      <c r="M51" s="189"/>
      <c r="N51" s="190"/>
      <c r="O51" s="156"/>
      <c r="P51"/>
      <c r="Q51"/>
      <c r="R51"/>
      <c r="S51"/>
    </row>
    <row r="52" spans="1:19" ht="11.25" customHeight="1">
      <c r="A52" s="16"/>
      <c r="B52" s="17"/>
      <c r="C52" s="18"/>
      <c r="D52" s="18"/>
      <c r="F52" s="79" t="s">
        <v>89</v>
      </c>
      <c r="G52" s="80"/>
      <c r="H52" s="80"/>
      <c r="I52" s="80"/>
      <c r="J52" s="80"/>
      <c r="K52" s="132"/>
      <c r="L52" s="132"/>
      <c r="M52" s="132"/>
      <c r="N52" s="171"/>
      <c r="O52" s="156"/>
      <c r="P52"/>
      <c r="Q52"/>
      <c r="R52"/>
      <c r="S52"/>
    </row>
    <row r="53" spans="1:19" ht="11.25" customHeight="1" thickBot="1">
      <c r="A53" s="16"/>
      <c r="B53" s="17"/>
      <c r="C53" s="18"/>
      <c r="D53" s="18"/>
      <c r="F53" s="191" t="s">
        <v>38</v>
      </c>
      <c r="G53" s="192"/>
      <c r="H53" s="192"/>
      <c r="I53" s="192"/>
      <c r="J53" s="192"/>
      <c r="K53" s="173"/>
      <c r="L53" s="173"/>
      <c r="M53" s="173"/>
      <c r="N53" s="174"/>
      <c r="O53" s="156"/>
      <c r="P53"/>
      <c r="Q53"/>
      <c r="R53"/>
      <c r="S53"/>
    </row>
    <row r="54" spans="1:24" ht="11.25" customHeight="1">
      <c r="A54" s="16"/>
      <c r="B54" s="17"/>
      <c r="C54" s="18"/>
      <c r="D54" s="18"/>
      <c r="E54" s="53"/>
      <c r="F54" s="53"/>
      <c r="G54" s="53"/>
      <c r="H54" s="53"/>
      <c r="I54" s="53"/>
      <c r="J54" s="53"/>
      <c r="K54" s="12"/>
      <c r="L54" s="12"/>
      <c r="M54" s="12"/>
      <c r="N54" s="15"/>
      <c r="O54" s="156"/>
      <c r="P54"/>
      <c r="Q54"/>
      <c r="R54"/>
      <c r="S54"/>
      <c r="T54"/>
      <c r="U54"/>
      <c r="V54"/>
      <c r="W54"/>
      <c r="X54"/>
    </row>
    <row r="55" spans="2:24" ht="11.25" customHeight="1" thickBot="1">
      <c r="B55" s="224"/>
      <c r="C55" s="225"/>
      <c r="D55" s="225"/>
      <c r="E55" s="225"/>
      <c r="F55" s="225"/>
      <c r="G55" s="225"/>
      <c r="H55" s="225"/>
      <c r="I55" s="225"/>
      <c r="J55" s="225"/>
      <c r="K55" s="55"/>
      <c r="L55" s="55"/>
      <c r="M55" s="55"/>
      <c r="N55" s="56"/>
      <c r="O55" s="156"/>
      <c r="P55"/>
      <c r="Q55"/>
      <c r="R55"/>
      <c r="S55"/>
      <c r="T55"/>
      <c r="U55"/>
      <c r="V55"/>
      <c r="W55"/>
      <c r="X55"/>
    </row>
    <row r="56" spans="15:19" ht="12.75">
      <c r="O56" s="156"/>
      <c r="P56"/>
      <c r="Q56"/>
      <c r="R56"/>
      <c r="S56"/>
    </row>
  </sheetData>
  <sheetProtection/>
  <mergeCells count="23">
    <mergeCell ref="O2:Q2"/>
    <mergeCell ref="O3:Q3"/>
    <mergeCell ref="B2:N2"/>
    <mergeCell ref="B3:N3"/>
    <mergeCell ref="B7:C7"/>
    <mergeCell ref="B5:E5"/>
    <mergeCell ref="B32:C32"/>
    <mergeCell ref="E28:N28"/>
    <mergeCell ref="E27:N27"/>
    <mergeCell ref="H12:N12"/>
    <mergeCell ref="O5:Q5"/>
    <mergeCell ref="G8:G10"/>
    <mergeCell ref="I8:M8"/>
    <mergeCell ref="G33:G35"/>
    <mergeCell ref="B55:J55"/>
    <mergeCell ref="H37:N37"/>
    <mergeCell ref="H38:N38"/>
    <mergeCell ref="I33:M33"/>
    <mergeCell ref="H13:N13"/>
    <mergeCell ref="E24:N24"/>
    <mergeCell ref="B30:J30"/>
    <mergeCell ref="E25:N25"/>
    <mergeCell ref="E26:N26"/>
  </mergeCells>
  <conditionalFormatting sqref="I15:I23">
    <cfRule type="cellIs" priority="1" dxfId="2" operator="equal" stopIfTrue="1">
      <formula>MAX($I$15:$I$23)</formula>
    </cfRule>
    <cfRule type="cellIs" priority="2" dxfId="0" operator="between" stopIfTrue="1">
      <formula>MAX($I$15:$I$23)</formula>
      <formula>MAX($I$15:$I$23)-1</formula>
    </cfRule>
    <cfRule type="cellIs" priority="3" dxfId="0" operator="between" stopIfTrue="1">
      <formula>MAX($I$15:$I$23)</formula>
      <formula>MAX($I$15:$I$23)+1</formula>
    </cfRule>
  </conditionalFormatting>
  <conditionalFormatting sqref="J15:J23">
    <cfRule type="cellIs" priority="4" dxfId="2" operator="equal" stopIfTrue="1">
      <formula>MAX($J$15:$J$23)</formula>
    </cfRule>
    <cfRule type="cellIs" priority="5" dxfId="0" operator="between" stopIfTrue="1">
      <formula>MAX($J$15:$J$23)</formula>
      <formula>MAX($J$15:$J$23)-1</formula>
    </cfRule>
    <cfRule type="cellIs" priority="6" dxfId="0" operator="between" stopIfTrue="1">
      <formula>MAX($J$15:$J$23)</formula>
      <formula>MAX($J$15:$J$23)+1</formula>
    </cfRule>
  </conditionalFormatting>
  <conditionalFormatting sqref="K15:K23">
    <cfRule type="cellIs" priority="7" dxfId="2" operator="equal" stopIfTrue="1">
      <formula>MAX($K$15:$K$23)</formula>
    </cfRule>
    <cfRule type="cellIs" priority="8" dxfId="0" operator="between" stopIfTrue="1">
      <formula>MAX($K$15:$K$23)</formula>
      <formula>MAX($K$15:$K$23)-1</formula>
    </cfRule>
    <cfRule type="cellIs" priority="9" dxfId="0" operator="between" stopIfTrue="1">
      <formula>MAX($K$15:$K$23)</formula>
      <formula>MAX($K$15:$K$23)+1</formula>
    </cfRule>
  </conditionalFormatting>
  <conditionalFormatting sqref="L15:L23">
    <cfRule type="cellIs" priority="10" dxfId="2" operator="equal" stopIfTrue="1">
      <formula>MAX($L$15:$L$23)</formula>
    </cfRule>
    <cfRule type="cellIs" priority="11" dxfId="0" operator="between" stopIfTrue="1">
      <formula>MAX($L$15:$L$23)</formula>
      <formula>MAX($L$15:$L$23)-1</formula>
    </cfRule>
    <cfRule type="cellIs" priority="12" dxfId="0" operator="between" stopIfTrue="1">
      <formula>MAX($L$15:$L$23)</formula>
      <formula>MAX($L$15:$L$23)+1</formula>
    </cfRule>
  </conditionalFormatting>
  <conditionalFormatting sqref="M15:M23">
    <cfRule type="cellIs" priority="13" dxfId="2" operator="equal" stopIfTrue="1">
      <formula>MAX($M$15:$M$23)</formula>
    </cfRule>
    <cfRule type="cellIs" priority="14" dxfId="0" operator="between" stopIfTrue="1">
      <formula>MAX($M$15:$M$23)</formula>
      <formula>MAX($M$15:$M$23)-1</formula>
    </cfRule>
    <cfRule type="cellIs" priority="15" dxfId="0" operator="between" stopIfTrue="1">
      <formula>MAX($M$15:$M$23)</formula>
      <formula>MAX($M$15:$M$23)+1</formula>
    </cfRule>
  </conditionalFormatting>
  <conditionalFormatting sqref="N15:N23">
    <cfRule type="cellIs" priority="16" dxfId="2" operator="equal" stopIfTrue="1">
      <formula>MAX($N$15:$N$23)</formula>
    </cfRule>
    <cfRule type="cellIs" priority="17" dxfId="0" operator="between" stopIfTrue="1">
      <formula>MAX($N$15:$N$23)</formula>
      <formula>MAX($N$15:$N$23)-1</formula>
    </cfRule>
    <cfRule type="cellIs" priority="18" dxfId="0" operator="between" stopIfTrue="1">
      <formula>MAX($N$15:$N$23)</formula>
      <formula>MAX($N$15:$N$23)+1</formula>
    </cfRule>
  </conditionalFormatting>
  <conditionalFormatting sqref="H40:H48">
    <cfRule type="cellIs" priority="19" dxfId="2" operator="equal" stopIfTrue="1">
      <formula>MAX($H$40:$H$48)</formula>
    </cfRule>
    <cfRule type="cellIs" priority="20" dxfId="0" operator="between" stopIfTrue="1">
      <formula>MAX($H$40:$H$48)</formula>
      <formula>MAX($H$40:$H$48)-1</formula>
    </cfRule>
    <cfRule type="cellIs" priority="21" dxfId="0" operator="between" stopIfTrue="1">
      <formula>"MAX($H$47:$H$55)"</formula>
      <formula>MAX($H$40:$H$48)+1</formula>
    </cfRule>
  </conditionalFormatting>
  <conditionalFormatting sqref="H15:H23">
    <cfRule type="cellIs" priority="22" dxfId="2" operator="equal" stopIfTrue="1">
      <formula>MAX($H$15:$H$23)</formula>
    </cfRule>
    <cfRule type="cellIs" priority="23" dxfId="0" operator="between" stopIfTrue="1">
      <formula>MAX($H$15:$H$23)</formula>
      <formula>MAX($H$15:$H$23)-1</formula>
    </cfRule>
    <cfRule type="cellIs" priority="24" dxfId="0" operator="between" stopIfTrue="1">
      <formula>MAX($H$15:$H$23)</formula>
      <formula>MAX($H$15:$H$23)+1</formula>
    </cfRule>
  </conditionalFormatting>
  <conditionalFormatting sqref="I40:I48">
    <cfRule type="cellIs" priority="25" dxfId="2" operator="equal" stopIfTrue="1">
      <formula>MAX($I$40:$I$55)</formula>
    </cfRule>
    <cfRule type="cellIs" priority="26" dxfId="0" operator="between" stopIfTrue="1">
      <formula>MAX($I$40:$I$55)</formula>
      <formula>MAX($I$40:$I$55)-1</formula>
    </cfRule>
    <cfRule type="cellIs" priority="27" dxfId="0" operator="between" stopIfTrue="1">
      <formula>MAX($I$40:$I$55)</formula>
      <formula>MAX($I$40:$I$55)+1</formula>
    </cfRule>
  </conditionalFormatting>
  <conditionalFormatting sqref="J40:J48">
    <cfRule type="cellIs" priority="28" dxfId="2" operator="equal" stopIfTrue="1">
      <formula>MAX($J$40:$J$55)</formula>
    </cfRule>
    <cfRule type="cellIs" priority="29" dxfId="0" operator="between" stopIfTrue="1">
      <formula>MAX($J$40:$J$55)</formula>
      <formula>MAX($J$40:$J$55)-1</formula>
    </cfRule>
    <cfRule type="cellIs" priority="30" dxfId="0" operator="between" stopIfTrue="1">
      <formula>MAX($J$40:$J$55)</formula>
      <formula>MAX($J$40:$J$55)+1</formula>
    </cfRule>
  </conditionalFormatting>
  <conditionalFormatting sqref="K40:K48">
    <cfRule type="cellIs" priority="31" dxfId="2" operator="equal" stopIfTrue="1">
      <formula>MAX($K$40:$K$55)</formula>
    </cfRule>
    <cfRule type="cellIs" priority="32" dxfId="0" operator="between" stopIfTrue="1">
      <formula>MAX($K$40:$K$55)</formula>
      <formula>MAX($K$40:$K$55)-1</formula>
    </cfRule>
    <cfRule type="cellIs" priority="33" dxfId="0" operator="between" stopIfTrue="1">
      <formula>MAX($K$40:$K$55)</formula>
      <formula>MAX($K$40:$K$55)+1</formula>
    </cfRule>
  </conditionalFormatting>
  <conditionalFormatting sqref="L40:L48">
    <cfRule type="cellIs" priority="34" dxfId="2" operator="equal" stopIfTrue="1">
      <formula>MAX($L$40:$L$55)</formula>
    </cfRule>
    <cfRule type="cellIs" priority="35" dxfId="0" operator="between" stopIfTrue="1">
      <formula>MAX($L$40:$L$55)</formula>
      <formula>MAX($L$40:$L$55)-1</formula>
    </cfRule>
    <cfRule type="cellIs" priority="36" dxfId="0" operator="between" stopIfTrue="1">
      <formula>MAX($L$40:$L$55)</formula>
      <formula>MAX($L$40:$L$55)+1</formula>
    </cfRule>
  </conditionalFormatting>
  <conditionalFormatting sqref="M40:M48">
    <cfRule type="cellIs" priority="37" dxfId="2" operator="equal" stopIfTrue="1">
      <formula>MAX($M$40:$M$55)</formula>
    </cfRule>
    <cfRule type="cellIs" priority="38" dxfId="0" operator="between" stopIfTrue="1">
      <formula>MAX($M$40:$M$55)</formula>
      <formula>MAX($M$40:$M$55)-1</formula>
    </cfRule>
    <cfRule type="cellIs" priority="39" dxfId="0" operator="between" stopIfTrue="1">
      <formula>MAX($M$40:$M$55)</formula>
      <formula>MAX($M$40:$M$55)+1</formula>
    </cfRule>
  </conditionalFormatting>
  <conditionalFormatting sqref="N40:N48">
    <cfRule type="cellIs" priority="40" dxfId="2" operator="equal" stopIfTrue="1">
      <formula>MAX($N$40:$N$55)</formula>
    </cfRule>
    <cfRule type="cellIs" priority="41" dxfId="0" operator="between" stopIfTrue="1">
      <formula>MAX($N$40:$N$55)</formula>
      <formula>MAX($N$40:$N$55)-1</formula>
    </cfRule>
    <cfRule type="cellIs" priority="42" dxfId="0" operator="between" stopIfTrue="1">
      <formula>MAX($N$40:$N$55)</formula>
      <formula>MAX($N$40:$N$55)+1</formula>
    </cfRule>
  </conditionalFormatting>
  <hyperlinks>
    <hyperlink ref="O2:Q2" location="'Wheat (Moist) MR'!A1" display="Go to Marginal Return Chart"/>
    <hyperlink ref="O3:Q3" location="'Wheat (Moist) Fertilizer'!A1" display="Go to Fertilizer as variable"/>
    <hyperlink ref="O5" location="'Data Entry'!A1" display="Return to Data Entry"/>
    <hyperlink ref="G8" location="'Wheat crop price'!D47" display="Go to Total Net Return"/>
    <hyperlink ref="G8:G10" location="'Wheat (Moist) Crop'!D53" display="Go to Total Net Return Below"/>
    <hyperlink ref="G33" location="'Wheat crop price'!D47" display="Go to Total Net Return"/>
    <hyperlink ref="G33:G35" location="'Wheat (Moist) Crop'!D1" display="Return to Net Return"/>
  </hyperlink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S30"/>
  <sheetViews>
    <sheetView showGridLines="0" zoomScalePageLayoutView="0" workbookViewId="0" topLeftCell="A1">
      <selection activeCell="N5" sqref="N5"/>
    </sheetView>
  </sheetViews>
  <sheetFormatPr defaultColWidth="9.140625" defaultRowHeight="12.75"/>
  <cols>
    <col min="1" max="1" width="1.57421875" style="10" customWidth="1"/>
    <col min="2" max="2" width="17.140625" style="10" customWidth="1"/>
    <col min="3" max="3" width="9.140625" style="10" customWidth="1"/>
    <col min="4" max="4" width="11.140625" style="10" customWidth="1"/>
    <col min="5" max="5" width="9.140625" style="10" customWidth="1"/>
    <col min="6" max="6" width="13.57421875" style="10" customWidth="1"/>
    <col min="7" max="13" width="9.140625" style="10" customWidth="1"/>
    <col min="14" max="14" width="26.5742187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83</v>
      </c>
    </row>
    <row r="3" spans="1:14" ht="21">
      <c r="A3" s="11"/>
      <c r="B3" s="256" t="s">
        <v>49</v>
      </c>
      <c r="C3" s="257"/>
      <c r="D3" s="257"/>
      <c r="E3" s="257"/>
      <c r="F3" s="257"/>
      <c r="G3" s="257"/>
      <c r="H3" s="257"/>
      <c r="I3" s="257"/>
      <c r="J3" s="257"/>
      <c r="K3" s="257"/>
      <c r="L3" s="257"/>
      <c r="M3" s="258"/>
      <c r="N3" s="163" t="s">
        <v>78</v>
      </c>
    </row>
    <row r="4" spans="1:14" ht="6.75" customHeight="1">
      <c r="A4" s="11"/>
      <c r="B4" s="13"/>
      <c r="C4" s="14"/>
      <c r="D4" s="14"/>
      <c r="E4" s="14"/>
      <c r="F4" s="14"/>
      <c r="G4" s="14"/>
      <c r="H4" s="14"/>
      <c r="I4" s="14"/>
      <c r="J4" s="12"/>
      <c r="K4" s="12"/>
      <c r="L4" s="12"/>
      <c r="M4" s="15"/>
      <c r="N4" s="162"/>
    </row>
    <row r="5" spans="2:14" ht="12.75">
      <c r="B5" s="259"/>
      <c r="C5" s="260"/>
      <c r="D5" s="260"/>
      <c r="E5" s="261"/>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4" ht="15.75" customHeight="1" thickBot="1">
      <c r="A7" s="16"/>
      <c r="B7" s="238" t="s">
        <v>61</v>
      </c>
      <c r="C7" s="239"/>
      <c r="E7" s="18"/>
      <c r="F7" s="18"/>
      <c r="G7" s="18"/>
      <c r="H7" s="19"/>
      <c r="I7" s="18"/>
      <c r="J7" s="19"/>
      <c r="K7" s="12"/>
      <c r="L7" s="12"/>
      <c r="M7" s="15"/>
      <c r="N7" s="162"/>
    </row>
    <row r="8" spans="1:13" ht="15" customHeight="1">
      <c r="A8" s="16"/>
      <c r="B8" s="87" t="s">
        <v>58</v>
      </c>
      <c r="C8" s="21" t="s">
        <v>59</v>
      </c>
      <c r="D8" s="18"/>
      <c r="E8" s="22"/>
      <c r="F8" s="23"/>
      <c r="G8" s="23"/>
      <c r="H8" s="230" t="s">
        <v>63</v>
      </c>
      <c r="I8" s="231"/>
      <c r="J8" s="231"/>
      <c r="K8" s="231"/>
      <c r="L8" s="231"/>
      <c r="M8" s="24"/>
    </row>
    <row r="9" spans="1:13" ht="13.5">
      <c r="A9" s="16"/>
      <c r="B9" s="20" t="s">
        <v>60</v>
      </c>
      <c r="C9" s="83">
        <f>'Data Entry'!F14</f>
        <v>5</v>
      </c>
      <c r="D9" s="18"/>
      <c r="E9" s="17"/>
      <c r="F9" s="18"/>
      <c r="G9" s="18"/>
      <c r="H9" s="19"/>
      <c r="I9" s="18"/>
      <c r="J9" s="19"/>
      <c r="K9" s="12"/>
      <c r="L9" s="12"/>
      <c r="M9" s="15"/>
    </row>
    <row r="10" spans="1:13" ht="13.5">
      <c r="A10" s="16"/>
      <c r="B10" s="30" t="s">
        <v>20</v>
      </c>
      <c r="C10" s="106">
        <f>'Data Entry'!C11</f>
        <v>10</v>
      </c>
      <c r="D10" s="18"/>
      <c r="E10" s="17"/>
      <c r="F10" s="18"/>
      <c r="G10" s="108">
        <f>H10-$C$12</f>
        <v>450</v>
      </c>
      <c r="H10" s="108">
        <f>I10-$C$12</f>
        <v>500</v>
      </c>
      <c r="I10" s="108">
        <f>J10-$C$12</f>
        <v>550</v>
      </c>
      <c r="J10" s="109">
        <f>'Data Entry'!C8</f>
        <v>600</v>
      </c>
      <c r="K10" s="108">
        <f>J10+$C$12</f>
        <v>650</v>
      </c>
      <c r="L10" s="108">
        <f>K10+$C$12</f>
        <v>700</v>
      </c>
      <c r="M10" s="110">
        <f>L10+$C$12</f>
        <v>750</v>
      </c>
    </row>
    <row r="11" spans="1:13" ht="13.5">
      <c r="A11" s="16"/>
      <c r="B11" s="33" t="s">
        <v>113</v>
      </c>
      <c r="C11" s="46"/>
      <c r="D11" s="18"/>
      <c r="E11" s="17"/>
      <c r="F11" s="29" t="s">
        <v>6</v>
      </c>
      <c r="G11" s="18"/>
      <c r="H11" s="18"/>
      <c r="I11" s="18"/>
      <c r="J11" s="12"/>
      <c r="K11" s="12"/>
      <c r="L11" s="12"/>
      <c r="M11" s="15"/>
    </row>
    <row r="12" spans="1:13" ht="13.5">
      <c r="A12" s="16"/>
      <c r="B12" s="37" t="s">
        <v>56</v>
      </c>
      <c r="C12" s="61">
        <f>'Data Entry'!C17</f>
        <v>50</v>
      </c>
      <c r="D12" s="18"/>
      <c r="E12" s="32"/>
      <c r="F12" s="29" t="s">
        <v>7</v>
      </c>
      <c r="G12" s="264" t="s">
        <v>8</v>
      </c>
      <c r="H12" s="264"/>
      <c r="I12" s="264"/>
      <c r="J12" s="264"/>
      <c r="K12" s="264"/>
      <c r="L12" s="264"/>
      <c r="M12" s="265"/>
    </row>
    <row r="13" spans="1:13" ht="14.25" thickBot="1">
      <c r="A13" s="16"/>
      <c r="B13" s="43" t="s">
        <v>28</v>
      </c>
      <c r="C13" s="46"/>
      <c r="D13" s="18"/>
      <c r="E13" s="35" t="s">
        <v>9</v>
      </c>
      <c r="F13" s="36" t="s">
        <v>10</v>
      </c>
      <c r="G13" s="228" t="s">
        <v>18</v>
      </c>
      <c r="H13" s="228"/>
      <c r="I13" s="228"/>
      <c r="J13" s="228"/>
      <c r="K13" s="228"/>
      <c r="L13" s="228"/>
      <c r="M13" s="229"/>
    </row>
    <row r="14" spans="1:13" ht="13.5">
      <c r="A14" s="16"/>
      <c r="B14" s="113" t="s">
        <v>29</v>
      </c>
      <c r="C14" s="107">
        <f>'Data Entry'!C15</f>
        <v>30</v>
      </c>
      <c r="D14" s="18"/>
      <c r="E14" s="39" t="s">
        <v>11</v>
      </c>
      <c r="F14" s="40" t="s">
        <v>12</v>
      </c>
      <c r="G14" s="111">
        <f>'Data Entry'!$F$14/(G$10/(('Data Entry'!$C$9/100)*2200))</f>
        <v>11.244444444444445</v>
      </c>
      <c r="H14" s="111">
        <f>'Data Entry'!$F$14/(H$10/(('Data Entry'!$C$9/100)*2200))</f>
        <v>10.120000000000001</v>
      </c>
      <c r="I14" s="111">
        <f>'Data Entry'!$F$14/(I$10/(('Data Entry'!$C$9/100)*2200))</f>
        <v>9.200000000000001</v>
      </c>
      <c r="J14" s="111">
        <f>'Data Entry'!$F$14/(J$10/(('Data Entry'!$C$9/100)*2200))</f>
        <v>8.433333333333334</v>
      </c>
      <c r="K14" s="111">
        <f>'Data Entry'!$F$14/(K$10/(('Data Entry'!$C$9/100)*2200))</f>
        <v>7.784615384615385</v>
      </c>
      <c r="L14" s="111">
        <f>'Data Entry'!$F$14/(L$10/(('Data Entry'!$C$9/100)*2200))</f>
        <v>7.228571428571429</v>
      </c>
      <c r="M14" s="112">
        <f>'Data Entry'!$F$14/(M$10/(('Data Entry'!$C$9/100)*2200))</f>
        <v>6.746666666666666</v>
      </c>
    </row>
    <row r="15" spans="1:13" ht="13.5">
      <c r="A15" s="16"/>
      <c r="B15" s="43" t="s">
        <v>30</v>
      </c>
      <c r="C15" s="46"/>
      <c r="D15" s="18"/>
      <c r="E15" s="195">
        <f>IF((E19-4*$C$10)&lt;0,0,(E19-4*$C$10))</f>
        <v>0</v>
      </c>
      <c r="F15" s="128">
        <f>IF(((-0.0038*(E15+$C$14)^2+0.5464*(E15+$C$14))-(-0.0038*($C$14)^2+0.5464*($C$14)))&lt;0,0,(-0.0038*(E15+$C$14)^2+0.5464*(E15+$C$14))-(-0.0038*($C$14)^2+0.5464*($C$14)))</f>
        <v>0</v>
      </c>
      <c r="G15" s="137">
        <f>('Data Entry'!$F$14*$F15)-(G$10/(('Data Entry'!$C$9/100)*2200))*($E15)</f>
        <v>0</v>
      </c>
      <c r="H15" s="137">
        <f>('Data Entry'!$F$14*$F15)-(H$10/(('Data Entry'!$C$9/100)*2200))*($E15)</f>
        <v>0</v>
      </c>
      <c r="I15" s="137">
        <f>('Data Entry'!$F$14*$F15)-(I$10/(('Data Entry'!$C$9/100)*2200))*($E15)</f>
        <v>0</v>
      </c>
      <c r="J15" s="137">
        <f>('Data Entry'!$F$14*$F15)-(J$10/(('Data Entry'!$C$9/100)*2200))*($E15)</f>
        <v>0</v>
      </c>
      <c r="K15" s="137">
        <f>('Data Entry'!$F$14*$F15)-(K$10/(('Data Entry'!$C$9/100)*2200))*($E15)</f>
        <v>0</v>
      </c>
      <c r="L15" s="137">
        <f>('Data Entry'!$F$14*$F15)-(L$10/(('Data Entry'!$C$9/100)*2200))*($E15)</f>
        <v>0</v>
      </c>
      <c r="M15" s="138">
        <f>('Data Entry'!$F$14*$F15)-(M$10/(('Data Entry'!$C$9/100)*2200))*($E15)</f>
        <v>0</v>
      </c>
    </row>
    <row r="16" spans="1:13" ht="13.5">
      <c r="A16" s="16"/>
      <c r="B16" s="114"/>
      <c r="C16" s="115"/>
      <c r="D16" s="18"/>
      <c r="E16" s="195">
        <f>IF((E20-4*$C$10)&lt;0,0,(E20-4*$C$10))</f>
        <v>10</v>
      </c>
      <c r="F16" s="128">
        <f>IF(((-0.0038*(E16+$C$14)^2+0.5464*(E16+$C$14))-(-0.0038*($C$14)^2+0.5464*($C$14)))&lt;0,0,(-0.0038*(E16+$C$14)^2+0.5464*(E16+$C$14))-(-0.0038*($C$14)^2+0.5464*($C$14)))</f>
        <v>2.804000000000002</v>
      </c>
      <c r="G16" s="137">
        <f>('Data Entry'!$F$14*$F16)-(G$10/(('Data Entry'!$C$9/100)*2200))*($E16)</f>
        <v>9.573359683794477</v>
      </c>
      <c r="H16" s="137">
        <f>('Data Entry'!$F$14*$F16)-(H$10/(('Data Entry'!$C$9/100)*2200))*($E16)</f>
        <v>9.079288537549417</v>
      </c>
      <c r="I16" s="137">
        <f>('Data Entry'!$F$14*$F16)-(I$10/(('Data Entry'!$C$9/100)*2200))*($E16)</f>
        <v>8.585217391304358</v>
      </c>
      <c r="J16" s="137">
        <f>('Data Entry'!$F$14*$F16)-(J$10/(('Data Entry'!$C$9/100)*2200))*($E16)</f>
        <v>8.0911462450593</v>
      </c>
      <c r="K16" s="137">
        <f>('Data Entry'!$F$14*$F16)-(K$10/(('Data Entry'!$C$9/100)*2200))*($E16)</f>
        <v>7.59707509881424</v>
      </c>
      <c r="L16" s="137">
        <f>('Data Entry'!$F$14*$F16)-(L$10/(('Data Entry'!$C$9/100)*2200))*($E16)</f>
        <v>7.10300395256918</v>
      </c>
      <c r="M16" s="138">
        <f>('Data Entry'!$F$14*$F16)-(M$10/(('Data Entry'!$C$9/100)*2200))*($E16)</f>
        <v>6.608932806324121</v>
      </c>
    </row>
    <row r="17" spans="1:13" ht="13.5">
      <c r="A17" s="16"/>
      <c r="B17" s="116"/>
      <c r="C17" s="117"/>
      <c r="D17" s="18"/>
      <c r="E17" s="195">
        <f>IF((E21-4*$C$10)&lt;0,0,(E21-4*$C$10))</f>
        <v>20</v>
      </c>
      <c r="F17" s="128">
        <f aca="true" t="shared" si="0" ref="F17:F23">IF(((-0.0038*(E17+$C$14)^2+0.5464*(E17+$C$14))-(-0.0038*($C$14)^2+0.5464*($C$14)))&lt;0,0,(-0.0038*(E17+$C$14)^2+0.5464*(E17+$C$14))-(-0.0038*($C$14)^2+0.5464*($C$14)))</f>
        <v>4.848000000000001</v>
      </c>
      <c r="G17" s="137">
        <f>('Data Entry'!$F$14*$F17)-(G$10/(('Data Entry'!$C$9/100)*2200))*($E17)</f>
        <v>15.346719367588936</v>
      </c>
      <c r="H17" s="137">
        <f>('Data Entry'!$F$14*$F17)-(H$10/(('Data Entry'!$C$9/100)*2200))*($E17)</f>
        <v>14.358577075098816</v>
      </c>
      <c r="I17" s="137">
        <f>('Data Entry'!$F$14*$F17)-(I$10/(('Data Entry'!$C$9/100)*2200))*($E17)</f>
        <v>13.370434782608697</v>
      </c>
      <c r="J17" s="137">
        <f>('Data Entry'!$F$14*$F17)-(J$10/(('Data Entry'!$C$9/100)*2200))*($E17)</f>
        <v>12.382292490118578</v>
      </c>
      <c r="K17" s="137">
        <f>('Data Entry'!$F$14*$F17)-(K$10/(('Data Entry'!$C$9/100)*2200))*($E17)</f>
        <v>11.394150197628461</v>
      </c>
      <c r="L17" s="137">
        <f>('Data Entry'!$F$14*$F17)-(L$10/(('Data Entry'!$C$9/100)*2200))*($E17)</f>
        <v>10.406007905138342</v>
      </c>
      <c r="M17" s="138">
        <f>('Data Entry'!$F$14*$F17)-(M$10/(('Data Entry'!$C$9/100)*2200))*($E17)</f>
        <v>9.417865612648223</v>
      </c>
    </row>
    <row r="18" spans="1:13" ht="14.25" thickBot="1">
      <c r="A18" s="16"/>
      <c r="B18" s="17"/>
      <c r="C18" s="18"/>
      <c r="D18" s="18"/>
      <c r="E18" s="198">
        <f>IF((E22-4*$C$10)&lt;0,0,(E22-4*$C$10))</f>
        <v>30</v>
      </c>
      <c r="F18" s="128">
        <f t="shared" si="0"/>
        <v>6.132</v>
      </c>
      <c r="G18" s="137">
        <f>('Data Entry'!$F$14*$F18)-(G$10/(('Data Entry'!$C$9/100)*2200))*($E18)</f>
        <v>17.320079051383395</v>
      </c>
      <c r="H18" s="137">
        <f>('Data Entry'!$F$14*$F18)-(H$10/(('Data Entry'!$C$9/100)*2200))*($E18)</f>
        <v>15.83786561264822</v>
      </c>
      <c r="I18" s="137">
        <f>('Data Entry'!$F$14*$F18)-(I$10/(('Data Entry'!$C$9/100)*2200))*($E18)</f>
        <v>14.35565217391304</v>
      </c>
      <c r="J18" s="137">
        <f>('Data Entry'!$F$14*$F18)-(J$10/(('Data Entry'!$C$9/100)*2200))*($E18)</f>
        <v>12.87343873517786</v>
      </c>
      <c r="K18" s="137">
        <f>('Data Entry'!$F$14*$F18)-(K$10/(('Data Entry'!$C$9/100)*2200))*($E18)</f>
        <v>11.391225296442684</v>
      </c>
      <c r="L18" s="137">
        <f>('Data Entry'!$F$14*$F18)-(L$10/(('Data Entry'!$C$9/100)*2200))*($E18)</f>
        <v>9.909011857707505</v>
      </c>
      <c r="M18" s="138">
        <f>('Data Entry'!$F$14*$F18)-(M$10/(('Data Entry'!$C$9/100)*2200))*($E18)</f>
        <v>8.426798418972329</v>
      </c>
    </row>
    <row r="19" spans="1:13" ht="14.25" thickBot="1">
      <c r="A19" s="16"/>
      <c r="B19" s="47"/>
      <c r="C19" s="48"/>
      <c r="D19" s="49" t="s">
        <v>13</v>
      </c>
      <c r="E19" s="50">
        <f>'Data Entry'!H9</f>
        <v>40</v>
      </c>
      <c r="F19" s="197">
        <f t="shared" si="0"/>
        <v>6.655999999999997</v>
      </c>
      <c r="G19" s="137">
        <f>('Data Entry'!$F$14*$F19)-(G$10/(('Data Entry'!$C$9/100)*2200))*($E19)</f>
        <v>15.493438735177854</v>
      </c>
      <c r="H19" s="137">
        <f>('Data Entry'!$F$14*$F19)-(H$10/(('Data Entry'!$C$9/100)*2200))*($E19)</f>
        <v>13.517154150197616</v>
      </c>
      <c r="I19" s="137">
        <f>('Data Entry'!$F$14*$F19)-(I$10/(('Data Entry'!$C$9/100)*2200))*($E19)</f>
        <v>11.540869565217378</v>
      </c>
      <c r="J19" s="137">
        <f>('Data Entry'!$F$14*$F19)-(J$10/(('Data Entry'!$C$9/100)*2200))*($E19)</f>
        <v>9.56458498023714</v>
      </c>
      <c r="K19" s="137">
        <f>('Data Entry'!$F$14*$F19)-(K$10/(('Data Entry'!$C$9/100)*2200))*($E19)</f>
        <v>7.588300395256905</v>
      </c>
      <c r="L19" s="137">
        <f>('Data Entry'!$F$14*$F19)-(L$10/(('Data Entry'!$C$9/100)*2200))*($E19)</f>
        <v>5.612015810276667</v>
      </c>
      <c r="M19" s="138">
        <f>('Data Entry'!$F$14*$F19)-(M$10/(('Data Entry'!$C$9/100)*2200))*($E19)</f>
        <v>3.6357312252964284</v>
      </c>
    </row>
    <row r="20" spans="1:13" ht="13.5">
      <c r="A20" s="16"/>
      <c r="B20" s="17"/>
      <c r="C20" s="18"/>
      <c r="D20" s="18"/>
      <c r="E20" s="199">
        <f>E19+C10</f>
        <v>50</v>
      </c>
      <c r="F20" s="128">
        <f t="shared" si="0"/>
        <v>6.4200000000000035</v>
      </c>
      <c r="G20" s="137">
        <f>('Data Entry'!$F$14*$F20)-(G$10/(('Data Entry'!$C$9/100)*2200))*($E20)</f>
        <v>9.866798418972348</v>
      </c>
      <c r="H20" s="137">
        <f>('Data Entry'!$F$14*$F20)-(H$10/(('Data Entry'!$C$9/100)*2200))*($E20)</f>
        <v>7.396442687747051</v>
      </c>
      <c r="I20" s="137">
        <f>('Data Entry'!$F$14*$F20)-(I$10/(('Data Entry'!$C$9/100)*2200))*($E20)</f>
        <v>4.9260869565217575</v>
      </c>
      <c r="J20" s="137">
        <f>('Data Entry'!$F$14*$F20)-(J$10/(('Data Entry'!$C$9/100)*2200))*($E20)</f>
        <v>2.455731225296457</v>
      </c>
      <c r="K20" s="137">
        <f>('Data Entry'!$F$14*$F20)-(K$10/(('Data Entry'!$C$9/100)*2200))*($E20)</f>
        <v>-0.014624505928836129</v>
      </c>
      <c r="L20" s="137">
        <f>('Data Entry'!$F$14*$F20)-(L$10/(('Data Entry'!$C$9/100)*2200))*($E20)</f>
        <v>-2.484980237154133</v>
      </c>
      <c r="M20" s="138">
        <f>('Data Entry'!$F$14*$F20)-(M$10/(('Data Entry'!$C$9/100)*2200))*($E20)</f>
        <v>-4.955335968379437</v>
      </c>
    </row>
    <row r="21" spans="1:13" ht="13.5">
      <c r="A21" s="16"/>
      <c r="B21" s="17"/>
      <c r="C21" s="52"/>
      <c r="D21" s="18"/>
      <c r="E21" s="195">
        <f>E19+2*C10</f>
        <v>60</v>
      </c>
      <c r="F21" s="128">
        <f t="shared" si="0"/>
        <v>5.424000000000001</v>
      </c>
      <c r="G21" s="137">
        <f>('Data Entry'!$F$14*$F21)-(G$10/(('Data Entry'!$C$9/100)*2200))*($E21)</f>
        <v>0.4401581027668051</v>
      </c>
      <c r="H21" s="137">
        <f>('Data Entry'!$F$14*$F21)-(H$10/(('Data Entry'!$C$9/100)*2200))*($E21)</f>
        <v>-2.5242687747035504</v>
      </c>
      <c r="I21" s="137">
        <f>('Data Entry'!$F$14*$F21)-(I$10/(('Data Entry'!$C$9/100)*2200))*($E21)</f>
        <v>-5.488695652173909</v>
      </c>
      <c r="J21" s="137">
        <f>('Data Entry'!$F$14*$F21)-(J$10/(('Data Entry'!$C$9/100)*2200))*($E21)</f>
        <v>-8.453122529644268</v>
      </c>
      <c r="K21" s="137">
        <f>('Data Entry'!$F$14*$F21)-(K$10/(('Data Entry'!$C$9/100)*2200))*($E21)</f>
        <v>-11.41754940711462</v>
      </c>
      <c r="L21" s="137">
        <f>('Data Entry'!$F$14*$F21)-(L$10/(('Data Entry'!$C$9/100)*2200))*($E21)</f>
        <v>-14.38197628458498</v>
      </c>
      <c r="M21" s="138">
        <f>('Data Entry'!$F$14*$F21)-(M$10/(('Data Entry'!$C$9/100)*2200))*($E21)</f>
        <v>-17.34640316205533</v>
      </c>
    </row>
    <row r="22" spans="1:13" ht="13.5">
      <c r="A22" s="16"/>
      <c r="B22" s="17"/>
      <c r="C22" s="18"/>
      <c r="D22" s="18"/>
      <c r="E22" s="195">
        <f>E19+3*C10</f>
        <v>70</v>
      </c>
      <c r="F22" s="128">
        <f t="shared" si="0"/>
        <v>3.668000000000001</v>
      </c>
      <c r="G22" s="137">
        <f>('Data Entry'!$F$14*$F22)-(G$10/(('Data Entry'!$C$9/100)*2200))*($E22)</f>
        <v>-12.786482213438731</v>
      </c>
      <c r="H22" s="137">
        <f>('Data Entry'!$F$14*$F22)-(H$10/(('Data Entry'!$C$9/100)*2200))*($E22)</f>
        <v>-16.244980237154145</v>
      </c>
      <c r="I22" s="137">
        <f>('Data Entry'!$F$14*$F22)-(I$10/(('Data Entry'!$C$9/100)*2200))*($E22)</f>
        <v>-19.70347826086956</v>
      </c>
      <c r="J22" s="137">
        <f>('Data Entry'!$F$14*$F22)-(J$10/(('Data Entry'!$C$9/100)*2200))*($E22)</f>
        <v>-23.16197628458498</v>
      </c>
      <c r="K22" s="137">
        <f>('Data Entry'!$F$14*$F22)-(K$10/(('Data Entry'!$C$9/100)*2200))*($E22)</f>
        <v>-26.620474308300388</v>
      </c>
      <c r="L22" s="137">
        <f>('Data Entry'!$F$14*$F22)-(L$10/(('Data Entry'!$C$9/100)*2200))*($E22)</f>
        <v>-30.07897233201581</v>
      </c>
      <c r="M22" s="138">
        <f>('Data Entry'!$F$14*$F22)-(M$10/(('Data Entry'!$C$9/100)*2200))*($E22)</f>
        <v>-33.53747035573122</v>
      </c>
    </row>
    <row r="23" spans="1:13" ht="13.5">
      <c r="A23" s="16"/>
      <c r="B23" s="17"/>
      <c r="C23" s="18"/>
      <c r="D23" s="18"/>
      <c r="E23" s="195">
        <f>E19+4*C10</f>
        <v>80</v>
      </c>
      <c r="F23" s="128">
        <f t="shared" si="0"/>
        <v>1.1520000000000028</v>
      </c>
      <c r="G23" s="137">
        <f>('Data Entry'!$F$14*$F23)-(G$10/(('Data Entry'!$C$9/100)*2200))*($E23)</f>
        <v>-29.813122529644254</v>
      </c>
      <c r="H23" s="137">
        <f>('Data Entry'!$F$14*$F23)-(H$10/(('Data Entry'!$C$9/100)*2200))*($E23)</f>
        <v>-33.76569169960473</v>
      </c>
      <c r="I23" s="137">
        <f>('Data Entry'!$F$14*$F23)-(I$10/(('Data Entry'!$C$9/100)*2200))*($E23)</f>
        <v>-37.718260869565206</v>
      </c>
      <c r="J23" s="137">
        <f>('Data Entry'!$F$14*$F23)-(J$10/(('Data Entry'!$C$9/100)*2200))*($E23)</f>
        <v>-41.67083003952568</v>
      </c>
      <c r="K23" s="137">
        <f>('Data Entry'!$F$14*$F23)-(K$10/(('Data Entry'!$C$9/100)*2200))*($E23)</f>
        <v>-45.62339920948615</v>
      </c>
      <c r="L23" s="137">
        <f>('Data Entry'!$F$14*$F23)-(L$10/(('Data Entry'!$C$9/100)*2200))*($E23)</f>
        <v>-49.57596837944663</v>
      </c>
      <c r="M23" s="138">
        <f>('Data Entry'!$F$14*$F23)-(M$10/(('Data Entry'!$C$9/100)*2200))*($E23)</f>
        <v>-53.528537549407105</v>
      </c>
    </row>
    <row r="24" spans="1:13" ht="13.5" customHeight="1">
      <c r="A24" s="16"/>
      <c r="B24" s="17"/>
      <c r="C24" s="18"/>
      <c r="D24" s="18"/>
      <c r="E24" s="266" t="s">
        <v>52</v>
      </c>
      <c r="F24" s="267"/>
      <c r="G24" s="277"/>
      <c r="H24" s="277"/>
      <c r="I24" s="277"/>
      <c r="J24" s="277"/>
      <c r="K24" s="277"/>
      <c r="L24" s="277"/>
      <c r="M24" s="278"/>
    </row>
    <row r="25" spans="1:13" ht="9.75" customHeight="1">
      <c r="A25" s="16"/>
      <c r="B25" s="17"/>
      <c r="C25" s="18"/>
      <c r="D25" s="18"/>
      <c r="E25" s="266" t="s">
        <v>16</v>
      </c>
      <c r="F25" s="267"/>
      <c r="G25" s="267"/>
      <c r="H25" s="267"/>
      <c r="I25" s="267"/>
      <c r="J25" s="267"/>
      <c r="K25" s="267"/>
      <c r="L25" s="267"/>
      <c r="M25" s="268"/>
    </row>
    <row r="26" spans="1:13" ht="9.75" customHeight="1">
      <c r="A26" s="16"/>
      <c r="B26" s="17"/>
      <c r="C26" s="18"/>
      <c r="D26" s="18"/>
      <c r="E26" s="266" t="s">
        <v>19</v>
      </c>
      <c r="F26" s="267"/>
      <c r="G26" s="267"/>
      <c r="H26" s="267"/>
      <c r="I26" s="267"/>
      <c r="J26" s="267"/>
      <c r="K26" s="267"/>
      <c r="L26" s="267"/>
      <c r="M26" s="268"/>
    </row>
    <row r="27" spans="1:19" ht="11.25" customHeight="1">
      <c r="A27" s="16"/>
      <c r="B27" s="17"/>
      <c r="C27" s="18"/>
      <c r="D27" s="18"/>
      <c r="E27" s="245" t="s">
        <v>89</v>
      </c>
      <c r="F27" s="279"/>
      <c r="G27" s="279"/>
      <c r="H27" s="279"/>
      <c r="I27" s="279"/>
      <c r="J27" s="279"/>
      <c r="K27" s="279"/>
      <c r="L27" s="279"/>
      <c r="M27" s="280"/>
      <c r="N27" s="132"/>
      <c r="O27"/>
      <c r="P27"/>
      <c r="Q27"/>
      <c r="R27"/>
      <c r="S27"/>
    </row>
    <row r="28" spans="1:13" ht="12" customHeight="1" thickBot="1">
      <c r="A28" s="16"/>
      <c r="B28" s="17"/>
      <c r="C28" s="18"/>
      <c r="D28" s="18"/>
      <c r="E28" s="269" t="s">
        <v>38</v>
      </c>
      <c r="F28" s="271"/>
      <c r="G28" s="271"/>
      <c r="H28" s="271"/>
      <c r="I28" s="271"/>
      <c r="J28" s="272"/>
      <c r="K28" s="272"/>
      <c r="L28" s="272"/>
      <c r="M28" s="273"/>
    </row>
    <row r="29" spans="1:13" ht="11.25" customHeight="1">
      <c r="A29" s="16"/>
      <c r="B29" s="17"/>
      <c r="C29" s="18"/>
      <c r="D29" s="18"/>
      <c r="E29" s="53"/>
      <c r="F29" s="53"/>
      <c r="G29" s="53"/>
      <c r="H29" s="53"/>
      <c r="I29" s="53"/>
      <c r="J29" s="12"/>
      <c r="K29" s="12"/>
      <c r="L29" s="12"/>
      <c r="M29" s="15"/>
    </row>
    <row r="30" spans="2:13" ht="11.25" customHeight="1" thickBot="1">
      <c r="B30" s="224"/>
      <c r="C30" s="225"/>
      <c r="D30" s="225"/>
      <c r="E30" s="225"/>
      <c r="F30" s="225"/>
      <c r="G30" s="225"/>
      <c r="H30" s="225"/>
      <c r="I30" s="225"/>
      <c r="J30" s="55"/>
      <c r="K30" s="55"/>
      <c r="L30" s="55"/>
      <c r="M30" s="56"/>
    </row>
  </sheetData>
  <sheetProtection/>
  <mergeCells count="13">
    <mergeCell ref="E24:M24"/>
    <mergeCell ref="E28:M28"/>
    <mergeCell ref="E27:M27"/>
    <mergeCell ref="B30:I30"/>
    <mergeCell ref="B2:M2"/>
    <mergeCell ref="B3:M3"/>
    <mergeCell ref="B7:C7"/>
    <mergeCell ref="B5:E5"/>
    <mergeCell ref="H8:L8"/>
    <mergeCell ref="E25:M25"/>
    <mergeCell ref="E26:M26"/>
    <mergeCell ref="G12:M12"/>
    <mergeCell ref="G13:M13"/>
  </mergeCells>
  <conditionalFormatting sqref="I15:I23">
    <cfRule type="cellIs" priority="1" dxfId="2" operator="equal" stopIfTrue="1">
      <formula>MAX($I$15:$I$23)</formula>
    </cfRule>
    <cfRule type="cellIs" priority="2" dxfId="0" operator="between" stopIfTrue="1">
      <formula>MAX($I$15:$I$23)</formula>
      <formula>MAX($I$15:$I$23)-1</formula>
    </cfRule>
    <cfRule type="cellIs" priority="3" dxfId="0" operator="between" stopIfTrue="1">
      <formula>MAX($I$15:$I$23)</formula>
      <formula>MAX($I$15:$I$23)+1</formula>
    </cfRule>
  </conditionalFormatting>
  <conditionalFormatting sqref="J15:J23">
    <cfRule type="cellIs" priority="4" dxfId="2" operator="equal" stopIfTrue="1">
      <formula>MAX($J$15:$J$23)</formula>
    </cfRule>
    <cfRule type="cellIs" priority="5" dxfId="0" operator="between" stopIfTrue="1">
      <formula>MAX($J$15:$J$23)</formula>
      <formula>MAX($J$15:$J$23)-1</formula>
    </cfRule>
    <cfRule type="cellIs" priority="6" dxfId="0" operator="between" stopIfTrue="1">
      <formula>MAX($J$15:$J$23)</formula>
      <formula>MAX($J$15:$J$23)+1</formula>
    </cfRule>
  </conditionalFormatting>
  <conditionalFormatting sqref="K15:K23">
    <cfRule type="cellIs" priority="7" dxfId="2" operator="equal" stopIfTrue="1">
      <formula>MAX($K$15:$K$23)</formula>
    </cfRule>
    <cfRule type="cellIs" priority="8" dxfId="0" operator="between" stopIfTrue="1">
      <formula>MAX($K$15:$K$23)</formula>
      <formula>MAX($K$15:$K$23)-1</formula>
    </cfRule>
    <cfRule type="cellIs" priority="9" dxfId="0" operator="between" stopIfTrue="1">
      <formula>MAX($K$15:$K$23)</formula>
      <formula>MAX($K$15:$K$23)+1</formula>
    </cfRule>
  </conditionalFormatting>
  <conditionalFormatting sqref="L15:L23">
    <cfRule type="cellIs" priority="10" dxfId="2" operator="equal" stopIfTrue="1">
      <formula>MAX($L$15:$L$23)</formula>
    </cfRule>
    <cfRule type="cellIs" priority="11" dxfId="0" operator="between" stopIfTrue="1">
      <formula>MAX($L$15:$L$23)</formula>
      <formula>MAX($L$15:$L$23)-1</formula>
    </cfRule>
    <cfRule type="cellIs" priority="12" dxfId="0" operator="between" stopIfTrue="1">
      <formula>MAX($L$15:$L$23)</formula>
      <formula>MAX($L$15:$L$23)+1</formula>
    </cfRule>
  </conditionalFormatting>
  <conditionalFormatting sqref="M15:M23">
    <cfRule type="cellIs" priority="13" dxfId="2" operator="equal" stopIfTrue="1">
      <formula>MAX($M$15:$M$23)</formula>
    </cfRule>
    <cfRule type="cellIs" priority="14" dxfId="0" operator="between" stopIfTrue="1">
      <formula>MAX($M$15:$M$23)</formula>
      <formula>MAX($M$15:$M$23)-1</formula>
    </cfRule>
    <cfRule type="cellIs" priority="15" dxfId="0" operator="between" stopIfTrue="1">
      <formula>MAX($M$15:$M$23)</formula>
      <formula>MAX($M$15:$M$23)+1</formula>
    </cfRule>
  </conditionalFormatting>
  <conditionalFormatting sqref="G15:G23">
    <cfRule type="cellIs" priority="16" dxfId="2" operator="equal" stopIfTrue="1">
      <formula>MAX($G$15:$G$23)</formula>
    </cfRule>
    <cfRule type="cellIs" priority="17" dxfId="0" operator="between" stopIfTrue="1">
      <formula>MAX($G$15:$G$23)</formula>
      <formula>MAX($G$15:$G$23)-1</formula>
    </cfRule>
    <cfRule type="cellIs" priority="18" dxfId="0" operator="between" stopIfTrue="1">
      <formula>MAX($G$15:$G$23)</formula>
      <formula>MAX($G$15:$G$23)+1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MAX($H$15:$HG$23)+1</formula>
    </cfRule>
  </conditionalFormatting>
  <hyperlinks>
    <hyperlink ref="N2" location="'Wheat (Arid) Crop'!A1" display="Return to Wheat (Arid) as variable"/>
    <hyperlink ref="N3" location="'Wheat (Arid) MR'!A1" display="Go to Marginal Cost Chart"/>
    <hyperlink ref="N5" location="'Data Entry'!A1" display="Return to Data Entry"/>
  </hyperlink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S30"/>
  <sheetViews>
    <sheetView showGridLines="0" zoomScalePageLayoutView="0" workbookViewId="0" topLeftCell="A1">
      <selection activeCell="N5" sqref="N5"/>
    </sheetView>
  </sheetViews>
  <sheetFormatPr defaultColWidth="9.140625" defaultRowHeight="12.75"/>
  <cols>
    <col min="1" max="1" width="1.57421875" style="10" customWidth="1"/>
    <col min="2" max="2" width="17.28125" style="10" customWidth="1"/>
    <col min="3" max="5" width="9.140625" style="10" customWidth="1"/>
    <col min="6" max="6" width="13.57421875" style="10" customWidth="1"/>
    <col min="7" max="13" width="9.140625" style="10" customWidth="1"/>
    <col min="14" max="14" width="27.710937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86</v>
      </c>
    </row>
    <row r="3" spans="1:14" ht="21">
      <c r="A3" s="11"/>
      <c r="B3" s="256" t="s">
        <v>47</v>
      </c>
      <c r="C3" s="257"/>
      <c r="D3" s="257"/>
      <c r="E3" s="257"/>
      <c r="F3" s="257"/>
      <c r="G3" s="257"/>
      <c r="H3" s="257"/>
      <c r="I3" s="257"/>
      <c r="J3" s="257"/>
      <c r="K3" s="257"/>
      <c r="L3" s="257"/>
      <c r="M3" s="258"/>
      <c r="N3" s="163" t="s">
        <v>69</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c r="A6" s="16"/>
      <c r="B6" s="17"/>
      <c r="C6" s="18"/>
      <c r="D6" s="18"/>
      <c r="E6" s="18"/>
      <c r="F6" s="18"/>
      <c r="G6" s="18"/>
      <c r="H6" s="18"/>
      <c r="I6" s="18"/>
      <c r="J6" s="12"/>
      <c r="K6" s="12"/>
      <c r="L6" s="12"/>
      <c r="M6" s="15"/>
      <c r="N6" s="162"/>
    </row>
    <row r="7" spans="1:13" ht="15.75" customHeight="1" thickBot="1">
      <c r="A7" s="16"/>
      <c r="B7" s="281" t="s">
        <v>61</v>
      </c>
      <c r="C7" s="282"/>
      <c r="D7" s="18"/>
      <c r="E7" s="18"/>
      <c r="F7" s="18"/>
      <c r="G7" s="18"/>
      <c r="H7" s="19"/>
      <c r="I7" s="18"/>
      <c r="J7" s="19"/>
      <c r="K7" s="12"/>
      <c r="L7" s="12"/>
      <c r="M7" s="15"/>
    </row>
    <row r="8" spans="1:13" ht="15" customHeight="1">
      <c r="A8" s="16"/>
      <c r="B8" s="87" t="s">
        <v>58</v>
      </c>
      <c r="C8" s="21" t="s">
        <v>62</v>
      </c>
      <c r="D8" s="18"/>
      <c r="E8" s="22"/>
      <c r="F8" s="23"/>
      <c r="G8" s="23"/>
      <c r="H8" s="230" t="s">
        <v>63</v>
      </c>
      <c r="I8" s="231"/>
      <c r="J8" s="231"/>
      <c r="K8" s="231"/>
      <c r="L8" s="231"/>
      <c r="M8" s="24"/>
    </row>
    <row r="9" spans="1:13" ht="13.5">
      <c r="A9" s="16"/>
      <c r="B9" s="20" t="s">
        <v>60</v>
      </c>
      <c r="C9" s="83">
        <f>'Data Entry'!F15</f>
        <v>2.5</v>
      </c>
      <c r="D9" s="18"/>
      <c r="E9" s="17"/>
      <c r="F9" s="18"/>
      <c r="G9" s="18"/>
      <c r="H9" s="19"/>
      <c r="I9" s="18"/>
      <c r="J9" s="19"/>
      <c r="K9" s="12"/>
      <c r="L9" s="12"/>
      <c r="M9" s="15"/>
    </row>
    <row r="10" spans="1:13" ht="13.5">
      <c r="A10" s="16"/>
      <c r="B10" s="30" t="s">
        <v>20</v>
      </c>
      <c r="C10" s="106">
        <f>'Data Entry'!C11</f>
        <v>10</v>
      </c>
      <c r="D10" s="18"/>
      <c r="E10" s="17"/>
      <c r="F10" s="18"/>
      <c r="G10" s="108">
        <f>H10-$C$12</f>
        <v>450</v>
      </c>
      <c r="H10" s="108">
        <f>I10-$C$12</f>
        <v>500</v>
      </c>
      <c r="I10" s="108">
        <f>J10-$C$12</f>
        <v>550</v>
      </c>
      <c r="J10" s="109">
        <f>'Data Entry'!C8</f>
        <v>600</v>
      </c>
      <c r="K10" s="108">
        <f>J10+$C$12</f>
        <v>650</v>
      </c>
      <c r="L10" s="108">
        <f>K10+$C$12</f>
        <v>700</v>
      </c>
      <c r="M10" s="110">
        <f>L10+$C$12</f>
        <v>750</v>
      </c>
    </row>
    <row r="11" spans="1:13" ht="13.5">
      <c r="A11" s="16"/>
      <c r="B11" s="33" t="s">
        <v>113</v>
      </c>
      <c r="C11" s="46"/>
      <c r="D11" s="18"/>
      <c r="E11" s="17"/>
      <c r="F11" s="29" t="s">
        <v>6</v>
      </c>
      <c r="G11" s="18"/>
      <c r="H11" s="18"/>
      <c r="I11" s="18"/>
      <c r="J11" s="12"/>
      <c r="K11" s="12"/>
      <c r="L11" s="12"/>
      <c r="M11" s="15"/>
    </row>
    <row r="12" spans="1:13" ht="13.5">
      <c r="A12" s="16"/>
      <c r="B12" s="37" t="s">
        <v>56</v>
      </c>
      <c r="C12" s="61">
        <f>'Data Entry'!C17</f>
        <v>50</v>
      </c>
      <c r="D12" s="18"/>
      <c r="E12" s="32"/>
      <c r="F12" s="29" t="s">
        <v>7</v>
      </c>
      <c r="G12" s="264" t="s">
        <v>8</v>
      </c>
      <c r="H12" s="264"/>
      <c r="I12" s="264"/>
      <c r="J12" s="264"/>
      <c r="K12" s="264"/>
      <c r="L12" s="264"/>
      <c r="M12" s="265"/>
    </row>
    <row r="13" spans="1:13" ht="14.25" thickBot="1">
      <c r="A13" s="16"/>
      <c r="B13" s="43" t="s">
        <v>28</v>
      </c>
      <c r="C13" s="46"/>
      <c r="D13" s="18"/>
      <c r="E13" s="35" t="s">
        <v>9</v>
      </c>
      <c r="F13" s="36" t="s">
        <v>10</v>
      </c>
      <c r="G13" s="228" t="s">
        <v>23</v>
      </c>
      <c r="H13" s="228"/>
      <c r="I13" s="228"/>
      <c r="J13" s="228"/>
      <c r="K13" s="228"/>
      <c r="L13" s="228"/>
      <c r="M13" s="229"/>
    </row>
    <row r="14" spans="1:13" ht="13.5">
      <c r="A14" s="16"/>
      <c r="B14" s="113" t="s">
        <v>29</v>
      </c>
      <c r="C14" s="107">
        <f>'Data Entry'!C15</f>
        <v>30</v>
      </c>
      <c r="D14" s="18"/>
      <c r="E14" s="39" t="s">
        <v>11</v>
      </c>
      <c r="F14" s="40" t="s">
        <v>12</v>
      </c>
      <c r="G14" s="111">
        <f>'Data Entry'!$F$15/(G$10/(('Data Entry'!$C$9/100)*2200))</f>
        <v>5.622222222222223</v>
      </c>
      <c r="H14" s="111">
        <f>'Data Entry'!$F$15/(H$10/(('Data Entry'!$C$9/100)*2200))</f>
        <v>5.0600000000000005</v>
      </c>
      <c r="I14" s="111">
        <f>'Data Entry'!$F$15/(I$10/(('Data Entry'!$C$9/100)*2200))</f>
        <v>4.6000000000000005</v>
      </c>
      <c r="J14" s="111">
        <f>'Data Entry'!$F$15/(J$10/(('Data Entry'!$C$9/100)*2200))</f>
        <v>4.216666666666667</v>
      </c>
      <c r="K14" s="111">
        <f>'Data Entry'!$F$15/(K$10/(('Data Entry'!$C$9/100)*2200))</f>
        <v>3.8923076923076927</v>
      </c>
      <c r="L14" s="111">
        <f>'Data Entry'!$F$15/(L$10/(('Data Entry'!$C$9/100)*2200))</f>
        <v>3.6142857142857143</v>
      </c>
      <c r="M14" s="112">
        <f>'Data Entry'!$F$15/(M$10/(('Data Entry'!$C$9/100)*2200))</f>
        <v>3.373333333333333</v>
      </c>
    </row>
    <row r="15" spans="1:13" ht="13.5">
      <c r="A15" s="16"/>
      <c r="B15" s="43" t="s">
        <v>30</v>
      </c>
      <c r="C15" s="46"/>
      <c r="D15" s="18"/>
      <c r="E15" s="195">
        <f>IF((E19-4*$C$10)&lt;0,0,(E19-4*$C$10))</f>
        <v>50</v>
      </c>
      <c r="F15" s="128">
        <f aca="true" t="shared" si="0" ref="F15:F23">IF(((-0.0037*(E15+$C$14)^2+1.152*(E15+$C$14))-(-0.0037*($C$14)^2+1.152*($C$14)))&lt;0,0,((-0.0037*(E15+$C$14)^2+1.152*(E15+$C$14))-(-0.0037*($C$14)^2+1.152*($C$14))))</f>
        <v>37.24999999999999</v>
      </c>
      <c r="G15" s="137">
        <f>('Data Entry'!$F$15*$F15)-(G$10/(('Data Entry'!$C$9/100)*2200))*($E15)</f>
        <v>70.89179841897231</v>
      </c>
      <c r="H15" s="137">
        <f>('Data Entry'!$F$15*$F15)-(H$10/(('Data Entry'!$C$9/100)*2200))*($E15)</f>
        <v>68.42144268774702</v>
      </c>
      <c r="I15" s="137">
        <f>('Data Entry'!$F$15*$F15)-(I$10/(('Data Entry'!$C$9/100)*2200))*($E15)</f>
        <v>65.95108695652172</v>
      </c>
      <c r="J15" s="137">
        <f>('Data Entry'!$F$15*$F15)-(J$10/(('Data Entry'!$C$9/100)*2200))*($E15)</f>
        <v>63.480731225296424</v>
      </c>
      <c r="K15" s="137">
        <f>('Data Entry'!$F$15*$F15)-(K$10/(('Data Entry'!$C$9/100)*2200))*($E15)</f>
        <v>61.010375494071134</v>
      </c>
      <c r="L15" s="137">
        <f>('Data Entry'!$F$15*$F15)-(L$10/(('Data Entry'!$C$9/100)*2200))*($E15)</f>
        <v>58.54001976284584</v>
      </c>
      <c r="M15" s="138">
        <f>('Data Entry'!$F$15*$F15)-(M$10/(('Data Entry'!$C$9/100)*2200))*($E15)</f>
        <v>56.06966403162053</v>
      </c>
    </row>
    <row r="16" spans="1:13" ht="13.5">
      <c r="A16" s="16"/>
      <c r="B16" s="54"/>
      <c r="D16" s="18"/>
      <c r="E16" s="195">
        <f>IF((E20-4*$C$10)&lt;0,0,(E20-4*$C$10))</f>
        <v>60</v>
      </c>
      <c r="F16" s="128">
        <f t="shared" si="0"/>
        <v>42.48</v>
      </c>
      <c r="G16" s="137">
        <f>('Data Entry'!$F$15*$F16)-(G$10/(('Data Entry'!$C$9/100)*2200))*($E16)</f>
        <v>79.52015810276679</v>
      </c>
      <c r="H16" s="137">
        <f>('Data Entry'!$F$15*$F16)-(H$10/(('Data Entry'!$C$9/100)*2200))*($E16)</f>
        <v>76.55573122529643</v>
      </c>
      <c r="I16" s="137">
        <f>('Data Entry'!$F$15*$F16)-(I$10/(('Data Entry'!$C$9/100)*2200))*($E16)</f>
        <v>73.59130434782608</v>
      </c>
      <c r="J16" s="137">
        <f>('Data Entry'!$F$15*$F16)-(J$10/(('Data Entry'!$C$9/100)*2200))*($E16)</f>
        <v>70.62687747035571</v>
      </c>
      <c r="K16" s="137">
        <f>('Data Entry'!$F$15*$F16)-(K$10/(('Data Entry'!$C$9/100)*2200))*($E16)</f>
        <v>67.66245059288536</v>
      </c>
      <c r="L16" s="137">
        <f>('Data Entry'!$F$15*$F16)-(L$10/(('Data Entry'!$C$9/100)*2200))*($E16)</f>
        <v>64.698023715415</v>
      </c>
      <c r="M16" s="138">
        <f>('Data Entry'!$F$15*$F16)-(M$10/(('Data Entry'!$C$9/100)*2200))*($E16)</f>
        <v>61.73359683794465</v>
      </c>
    </row>
    <row r="17" spans="1:13" ht="13.5">
      <c r="A17" s="16"/>
      <c r="B17" s="54"/>
      <c r="D17" s="18"/>
      <c r="E17" s="195">
        <f>IF((E21-4*$C$10)&lt;0,0,(E21-4*$C$10))</f>
        <v>70</v>
      </c>
      <c r="F17" s="128">
        <f t="shared" si="0"/>
        <v>46.96999999999999</v>
      </c>
      <c r="G17" s="137">
        <f>('Data Entry'!$F$15*$F17)-(G$10/(('Data Entry'!$C$9/100)*2200))*($E17)</f>
        <v>86.29851778656125</v>
      </c>
      <c r="H17" s="137">
        <f>('Data Entry'!$F$15*$F17)-(H$10/(('Data Entry'!$C$9/100)*2200))*($E17)</f>
        <v>82.84001976284583</v>
      </c>
      <c r="I17" s="137">
        <f>('Data Entry'!$F$15*$F17)-(I$10/(('Data Entry'!$C$9/100)*2200))*($E17)</f>
        <v>79.38152173913042</v>
      </c>
      <c r="J17" s="137">
        <f>('Data Entry'!$F$15*$F17)-(J$10/(('Data Entry'!$C$9/100)*2200))*($E17)</f>
        <v>75.923023715415</v>
      </c>
      <c r="K17" s="137">
        <f>('Data Entry'!$F$15*$F17)-(K$10/(('Data Entry'!$C$9/100)*2200))*($E17)</f>
        <v>72.46452569169959</v>
      </c>
      <c r="L17" s="137">
        <f>('Data Entry'!$F$15*$F17)-(L$10/(('Data Entry'!$C$9/100)*2200))*($E17)</f>
        <v>69.00602766798417</v>
      </c>
      <c r="M17" s="138">
        <f>('Data Entry'!$F$15*$F17)-(M$10/(('Data Entry'!$C$9/100)*2200))*($E17)</f>
        <v>65.54752964426876</v>
      </c>
    </row>
    <row r="18" spans="1:13" ht="14.25" thickBot="1">
      <c r="A18" s="16"/>
      <c r="B18" s="17"/>
      <c r="C18" s="18"/>
      <c r="D18" s="18"/>
      <c r="E18" s="198">
        <f>IF((E22-4*$C$10)&lt;0,0,(E22-4*$C$10))</f>
        <v>80</v>
      </c>
      <c r="F18" s="128">
        <f t="shared" si="0"/>
        <v>50.71999999999999</v>
      </c>
      <c r="G18" s="137">
        <f>('Data Entry'!$F$15*$F18)-(G$10/(('Data Entry'!$C$9/100)*2200))*($E18)</f>
        <v>91.22687747035572</v>
      </c>
      <c r="H18" s="137">
        <f>('Data Entry'!$F$15*$F18)-(H$10/(('Data Entry'!$C$9/100)*2200))*($E18)</f>
        <v>87.27430830039523</v>
      </c>
      <c r="I18" s="137">
        <f>('Data Entry'!$F$15*$F18)-(I$10/(('Data Entry'!$C$9/100)*2200))*($E18)</f>
        <v>83.32173913043476</v>
      </c>
      <c r="J18" s="137">
        <f>('Data Entry'!$F$15*$F18)-(J$10/(('Data Entry'!$C$9/100)*2200))*($E18)</f>
        <v>79.3691699604743</v>
      </c>
      <c r="K18" s="137">
        <f>('Data Entry'!$F$15*$F18)-(K$10/(('Data Entry'!$C$9/100)*2200))*($E18)</f>
        <v>75.41660079051383</v>
      </c>
      <c r="L18" s="137">
        <f>('Data Entry'!$F$15*$F18)-(L$10/(('Data Entry'!$C$9/100)*2200))*($E18)</f>
        <v>71.46403162055334</v>
      </c>
      <c r="M18" s="138">
        <f>('Data Entry'!$F$15*$F18)-(M$10/(('Data Entry'!$C$9/100)*2200))*($E18)</f>
        <v>67.51146245059286</v>
      </c>
    </row>
    <row r="19" spans="1:13" ht="14.25" thickBot="1">
      <c r="A19" s="16"/>
      <c r="B19" s="54"/>
      <c r="C19" s="48"/>
      <c r="D19" s="49" t="s">
        <v>13</v>
      </c>
      <c r="E19" s="50">
        <f>'Data Entry'!F10</f>
        <v>90</v>
      </c>
      <c r="F19" s="197">
        <f t="shared" si="0"/>
        <v>53.72999999999998</v>
      </c>
      <c r="G19" s="137">
        <f>('Data Entry'!$F$15*$F19)-(G$10/(('Data Entry'!$C$9/100)*2200))*($E19)</f>
        <v>94.30523715415015</v>
      </c>
      <c r="H19" s="137">
        <f>('Data Entry'!$F$15*$F19)-(H$10/(('Data Entry'!$C$9/100)*2200))*($E19)</f>
        <v>89.85859683794462</v>
      </c>
      <c r="I19" s="137">
        <f>('Data Entry'!$F$15*$F19)-(I$10/(('Data Entry'!$C$9/100)*2200))*($E19)</f>
        <v>85.41195652173909</v>
      </c>
      <c r="J19" s="137">
        <f>('Data Entry'!$F$15*$F19)-(J$10/(('Data Entry'!$C$9/100)*2200))*($E19)</f>
        <v>80.96531620553355</v>
      </c>
      <c r="K19" s="137">
        <f>('Data Entry'!$F$15*$F19)-(K$10/(('Data Entry'!$C$9/100)*2200))*($E19)</f>
        <v>76.51867588932802</v>
      </c>
      <c r="L19" s="137">
        <f>('Data Entry'!$F$15*$F19)-(L$10/(('Data Entry'!$C$9/100)*2200))*($E19)</f>
        <v>72.07203557312249</v>
      </c>
      <c r="M19" s="138">
        <f>('Data Entry'!$F$15*$F19)-(M$10/(('Data Entry'!$C$9/100)*2200))*($E19)</f>
        <v>67.62539525691695</v>
      </c>
    </row>
    <row r="20" spans="1:13" ht="13.5">
      <c r="A20" s="16"/>
      <c r="B20" s="17"/>
      <c r="C20" s="18"/>
      <c r="D20" s="18"/>
      <c r="E20" s="199">
        <f>E19+C10</f>
        <v>100</v>
      </c>
      <c r="F20" s="128">
        <f t="shared" si="0"/>
        <v>55.99999999999999</v>
      </c>
      <c r="G20" s="137">
        <f>('Data Entry'!$F$15*$F20)-(G$10/(('Data Entry'!$C$9/100)*2200))*($E20)</f>
        <v>95.53359683794463</v>
      </c>
      <c r="H20" s="137">
        <f>('Data Entry'!$F$15*$F20)-(H$10/(('Data Entry'!$C$9/100)*2200))*($E20)</f>
        <v>90.59288537549403</v>
      </c>
      <c r="I20" s="137">
        <f>('Data Entry'!$F$15*$F20)-(I$10/(('Data Entry'!$C$9/100)*2200))*($E20)</f>
        <v>85.65217391304346</v>
      </c>
      <c r="J20" s="137">
        <f>('Data Entry'!$F$15*$F20)-(J$10/(('Data Entry'!$C$9/100)*2200))*($E20)</f>
        <v>80.71146245059285</v>
      </c>
      <c r="K20" s="137">
        <f>('Data Entry'!$F$15*$F20)-(K$10/(('Data Entry'!$C$9/100)*2200))*($E20)</f>
        <v>75.77075098814227</v>
      </c>
      <c r="L20" s="137">
        <f>('Data Entry'!$F$15*$F20)-(L$10/(('Data Entry'!$C$9/100)*2200))*($E20)</f>
        <v>70.83003952569167</v>
      </c>
      <c r="M20" s="138">
        <f>('Data Entry'!$F$15*$F20)-(M$10/(('Data Entry'!$C$9/100)*2200))*($E20)</f>
        <v>65.88932806324107</v>
      </c>
    </row>
    <row r="21" spans="1:13" ht="13.5">
      <c r="A21" s="16"/>
      <c r="B21" s="17"/>
      <c r="C21" s="18"/>
      <c r="D21" s="18"/>
      <c r="E21" s="195">
        <f>E19+2*C10</f>
        <v>110</v>
      </c>
      <c r="F21" s="128">
        <f t="shared" si="0"/>
        <v>57.529999999999994</v>
      </c>
      <c r="G21" s="137">
        <f>('Data Entry'!$F$15*$F21)-(G$10/(('Data Entry'!$C$9/100)*2200))*($E21)</f>
        <v>94.91195652173911</v>
      </c>
      <c r="H21" s="137">
        <f>('Data Entry'!$F$15*$F21)-(H$10/(('Data Entry'!$C$9/100)*2200))*($E21)</f>
        <v>89.47717391304347</v>
      </c>
      <c r="I21" s="137">
        <f>('Data Entry'!$F$15*$F21)-(I$10/(('Data Entry'!$C$9/100)*2200))*($E21)</f>
        <v>84.04239130434782</v>
      </c>
      <c r="J21" s="137">
        <f>('Data Entry'!$F$15*$F21)-(J$10/(('Data Entry'!$C$9/100)*2200))*($E21)</f>
        <v>78.60760869565216</v>
      </c>
      <c r="K21" s="137">
        <f>('Data Entry'!$F$15*$F21)-(K$10/(('Data Entry'!$C$9/100)*2200))*($E21)</f>
        <v>73.17282608695652</v>
      </c>
      <c r="L21" s="137">
        <f>('Data Entry'!$F$15*$F21)-(L$10/(('Data Entry'!$C$9/100)*2200))*($E21)</f>
        <v>67.73804347826086</v>
      </c>
      <c r="M21" s="138">
        <f>('Data Entry'!$F$15*$F21)-(M$10/(('Data Entry'!$C$9/100)*2200))*($E21)</f>
        <v>62.30326086956521</v>
      </c>
    </row>
    <row r="22" spans="1:13" ht="13.5">
      <c r="A22" s="16"/>
      <c r="B22" s="17"/>
      <c r="C22" s="18"/>
      <c r="D22" s="18"/>
      <c r="E22" s="195">
        <f>E19+3*C10</f>
        <v>120</v>
      </c>
      <c r="F22" s="128">
        <f t="shared" si="0"/>
        <v>58.319999999999986</v>
      </c>
      <c r="G22" s="137">
        <f>('Data Entry'!$F$15*$F22)-(G$10/(('Data Entry'!$C$9/100)*2200))*($E22)</f>
        <v>92.44031620553355</v>
      </c>
      <c r="H22" s="137">
        <f>('Data Entry'!$F$15*$F22)-(H$10/(('Data Entry'!$C$9/100)*2200))*($E22)</f>
        <v>86.51146245059284</v>
      </c>
      <c r="I22" s="137">
        <f>('Data Entry'!$F$15*$F22)-(I$10/(('Data Entry'!$C$9/100)*2200))*($E22)</f>
        <v>80.58260869565213</v>
      </c>
      <c r="J22" s="137">
        <f>('Data Entry'!$F$15*$F22)-(J$10/(('Data Entry'!$C$9/100)*2200))*($E22)</f>
        <v>74.65375494071141</v>
      </c>
      <c r="K22" s="137">
        <f>('Data Entry'!$F$15*$F22)-(K$10/(('Data Entry'!$C$9/100)*2200))*($E22)</f>
        <v>68.7249011857707</v>
      </c>
      <c r="L22" s="137">
        <f>('Data Entry'!$F$15*$F22)-(L$10/(('Data Entry'!$C$9/100)*2200))*($E22)</f>
        <v>62.79604743082999</v>
      </c>
      <c r="M22" s="138">
        <f>('Data Entry'!$F$15*$F22)-(M$10/(('Data Entry'!$C$9/100)*2200))*($E22)</f>
        <v>56.86719367588928</v>
      </c>
    </row>
    <row r="23" spans="1:13" ht="13.5">
      <c r="A23" s="16"/>
      <c r="B23" s="17"/>
      <c r="C23" s="18"/>
      <c r="D23" s="18"/>
      <c r="E23" s="195">
        <f>E19+4*C10</f>
        <v>130</v>
      </c>
      <c r="F23" s="128">
        <f t="shared" si="0"/>
        <v>58.37</v>
      </c>
      <c r="G23" s="137">
        <f>('Data Entry'!$F$15*$F23)-(G$10/(('Data Entry'!$C$9/100)*2200))*($E23)</f>
        <v>88.11867588932805</v>
      </c>
      <c r="H23" s="137">
        <f>('Data Entry'!$F$15*$F23)-(H$10/(('Data Entry'!$C$9/100)*2200))*($E23)</f>
        <v>81.69575098814228</v>
      </c>
      <c r="I23" s="137">
        <f>('Data Entry'!$F$15*$F23)-(I$10/(('Data Entry'!$C$9/100)*2200))*($E23)</f>
        <v>75.27282608695651</v>
      </c>
      <c r="J23" s="137">
        <f>('Data Entry'!$F$15*$F23)-(J$10/(('Data Entry'!$C$9/100)*2200))*($E23)</f>
        <v>68.84990118577073</v>
      </c>
      <c r="K23" s="137">
        <f>('Data Entry'!$F$15*$F23)-(K$10/(('Data Entry'!$C$9/100)*2200))*($E23)</f>
        <v>62.42697628458497</v>
      </c>
      <c r="L23" s="137">
        <f>('Data Entry'!$F$15*$F23)-(L$10/(('Data Entry'!$C$9/100)*2200))*($E23)</f>
        <v>56.00405138339919</v>
      </c>
      <c r="M23" s="138">
        <f>('Data Entry'!$F$15*$F23)-(M$10/(('Data Entry'!$C$9/100)*2200))*($E23)</f>
        <v>49.58112648221342</v>
      </c>
    </row>
    <row r="24" spans="1:13" ht="13.5" customHeight="1">
      <c r="A24" s="16"/>
      <c r="B24" s="17"/>
      <c r="C24" s="18"/>
      <c r="D24" s="18"/>
      <c r="E24" s="266" t="s">
        <v>53</v>
      </c>
      <c r="F24" s="267"/>
      <c r="G24" s="277"/>
      <c r="H24" s="277"/>
      <c r="I24" s="277"/>
      <c r="J24" s="277"/>
      <c r="K24" s="277"/>
      <c r="L24" s="277"/>
      <c r="M24" s="278"/>
    </row>
    <row r="25" spans="1:13" ht="9.75" customHeight="1">
      <c r="A25" s="16"/>
      <c r="B25" s="17"/>
      <c r="C25" s="18"/>
      <c r="D25" s="18"/>
      <c r="E25" s="266" t="s">
        <v>16</v>
      </c>
      <c r="F25" s="267"/>
      <c r="G25" s="267"/>
      <c r="H25" s="267"/>
      <c r="I25" s="267"/>
      <c r="J25" s="267"/>
      <c r="K25" s="267"/>
      <c r="L25" s="267"/>
      <c r="M25" s="268"/>
    </row>
    <row r="26" spans="1:13" ht="9.75" customHeight="1">
      <c r="A26" s="16"/>
      <c r="B26" s="17"/>
      <c r="C26" s="18"/>
      <c r="D26" s="18"/>
      <c r="E26" s="266" t="s">
        <v>24</v>
      </c>
      <c r="F26" s="267"/>
      <c r="G26" s="267"/>
      <c r="H26" s="267"/>
      <c r="I26" s="267"/>
      <c r="J26" s="267"/>
      <c r="K26" s="267"/>
      <c r="L26" s="267"/>
      <c r="M26" s="268"/>
    </row>
    <row r="27" spans="1:19" ht="11.25" customHeight="1">
      <c r="A27" s="16"/>
      <c r="B27" s="17"/>
      <c r="C27" s="18"/>
      <c r="D27" s="18"/>
      <c r="E27" s="245" t="s">
        <v>91</v>
      </c>
      <c r="F27" s="279"/>
      <c r="G27" s="279"/>
      <c r="H27" s="279"/>
      <c r="I27" s="279"/>
      <c r="J27" s="279"/>
      <c r="K27" s="279"/>
      <c r="L27" s="279"/>
      <c r="M27" s="280"/>
      <c r="N27" s="132"/>
      <c r="O27"/>
      <c r="P27"/>
      <c r="Q27"/>
      <c r="R27"/>
      <c r="S27"/>
    </row>
    <row r="28" spans="1:13" ht="12" customHeight="1" thickBot="1">
      <c r="A28" s="16"/>
      <c r="B28" s="17"/>
      <c r="C28" s="18"/>
      <c r="D28" s="18"/>
      <c r="E28" s="269" t="s">
        <v>38</v>
      </c>
      <c r="F28" s="271"/>
      <c r="G28" s="271"/>
      <c r="H28" s="271"/>
      <c r="I28" s="271"/>
      <c r="J28" s="272"/>
      <c r="K28" s="272"/>
      <c r="L28" s="272"/>
      <c r="M28" s="273"/>
    </row>
    <row r="29" spans="1:13" ht="11.25" customHeight="1">
      <c r="A29" s="16"/>
      <c r="B29" s="17"/>
      <c r="C29" s="18"/>
      <c r="D29" s="18"/>
      <c r="E29" s="53"/>
      <c r="F29" s="53"/>
      <c r="G29" s="53"/>
      <c r="H29" s="53"/>
      <c r="I29" s="53"/>
      <c r="J29" s="12"/>
      <c r="K29" s="12"/>
      <c r="L29" s="12"/>
      <c r="M29" s="15"/>
    </row>
    <row r="30" spans="2:13" ht="11.25" customHeight="1" thickBot="1">
      <c r="B30" s="224"/>
      <c r="C30" s="225"/>
      <c r="D30" s="225"/>
      <c r="E30" s="225"/>
      <c r="F30" s="225"/>
      <c r="G30" s="225"/>
      <c r="H30" s="225"/>
      <c r="I30" s="225"/>
      <c r="J30" s="55"/>
      <c r="K30" s="55"/>
      <c r="L30" s="55"/>
      <c r="M30" s="56"/>
    </row>
  </sheetData>
  <sheetProtection/>
  <mergeCells count="13">
    <mergeCell ref="E24:M24"/>
    <mergeCell ref="E27:M27"/>
    <mergeCell ref="E28:M28"/>
    <mergeCell ref="B30:I30"/>
    <mergeCell ref="E25:M25"/>
    <mergeCell ref="E26:M26"/>
    <mergeCell ref="H8:L8"/>
    <mergeCell ref="G12:M12"/>
    <mergeCell ref="G13:M13"/>
    <mergeCell ref="B2:M2"/>
    <mergeCell ref="B3:M3"/>
    <mergeCell ref="B5:D5"/>
    <mergeCell ref="B7:C7"/>
  </mergeCells>
  <conditionalFormatting sqref="M15:M23">
    <cfRule type="cellIs" priority="1" dxfId="2" operator="equal" stopIfTrue="1">
      <formula>MAX($M$15:$M$23)</formula>
    </cfRule>
    <cfRule type="cellIs" priority="2" dxfId="0" operator="between" stopIfTrue="1">
      <formula>MAX($M$15:$M$23)</formula>
      <formula>MAX($M$15:$M$23)-1</formula>
    </cfRule>
    <cfRule type="cellIs" priority="3" dxfId="0" operator="between" stopIfTrue="1">
      <formula>MAX($M$15:$M$23)</formula>
      <formula>MAX($M$15:$M$23)+1</formula>
    </cfRule>
  </conditionalFormatting>
  <conditionalFormatting sqref="G15:G23">
    <cfRule type="cellIs" priority="4" dxfId="2" operator="equal" stopIfTrue="1">
      <formula>MAX($G$15:$G$23)</formula>
    </cfRule>
    <cfRule type="cellIs" priority="5" dxfId="0" operator="between" stopIfTrue="1">
      <formula>MAX($G$15:$G$23)</formula>
      <formula>MAX($G$15:$G$23)-1</formula>
    </cfRule>
    <cfRule type="cellIs" priority="6" dxfId="0" operator="between" stopIfTrue="1">
      <formula>MAX($G$15:$G$23)</formula>
      <formula>MAX($G$15:$G$23)+1</formula>
    </cfRule>
  </conditionalFormatting>
  <conditionalFormatting sqref="I15:I23">
    <cfRule type="cellIs" priority="7" dxfId="2" operator="equal" stopIfTrue="1">
      <formula>MAX($I$15:$I$23)</formula>
    </cfRule>
    <cfRule type="cellIs" priority="8" dxfId="0" operator="between" stopIfTrue="1">
      <formula>MAX($I$15:$I$23)</formula>
      <formula>MAX($I$15:$I$23)-1</formula>
    </cfRule>
    <cfRule type="cellIs" priority="9" dxfId="0" operator="between" stopIfTrue="1">
      <formula>MAX($I$15:$I$23)</formula>
      <formula>MAX($I$15:$I$23)+1</formula>
    </cfRule>
  </conditionalFormatting>
  <conditionalFormatting sqref="J15:J23">
    <cfRule type="cellIs" priority="10" dxfId="2" operator="equal" stopIfTrue="1">
      <formula>MAX($J$15:$J$23)</formula>
    </cfRule>
    <cfRule type="cellIs" priority="11" dxfId="0" operator="between" stopIfTrue="1">
      <formula>MAX($J$15:$J$23)</formula>
      <formula>MAX($J$15:$J$23)-1</formula>
    </cfRule>
    <cfRule type="cellIs" priority="12" dxfId="0" operator="between" stopIfTrue="1">
      <formula>MAX($J$15:$J$23)</formula>
      <formula>MAX($J$15:$J$23)+1</formula>
    </cfRule>
  </conditionalFormatting>
  <conditionalFormatting sqref="K15:K23">
    <cfRule type="cellIs" priority="13" dxfId="2" operator="equal" stopIfTrue="1">
      <formula>MAX($K$15:$K$23)</formula>
    </cfRule>
    <cfRule type="cellIs" priority="14" dxfId="0" operator="between" stopIfTrue="1">
      <formula>MAX($K$15:$K$23)</formula>
      <formula>MAX($K$15:$K$23)-1</formula>
    </cfRule>
    <cfRule type="cellIs" priority="15" dxfId="0" operator="between" stopIfTrue="1">
      <formula>MAX($K$15:$K$23)</formula>
      <formula>MAX($K$15:$K$23)+1</formula>
    </cfRule>
  </conditionalFormatting>
  <conditionalFormatting sqref="L15:L23">
    <cfRule type="cellIs" priority="16" dxfId="2" operator="equal" stopIfTrue="1">
      <formula>MAX($L$15:$L$23)</formula>
    </cfRule>
    <cfRule type="cellIs" priority="17" dxfId="0" operator="between" stopIfTrue="1">
      <formula>MAX($L$15:$L$23)</formula>
      <formula>MAX($L$15:$L$23)-1</formula>
    </cfRule>
    <cfRule type="cellIs" priority="18" dxfId="0" operator="between" stopIfTrue="1">
      <formula>MAX($L$15:$L$23)</formula>
      <formula>MAX($L$15:$L$23)+1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MAX($H$15:$HG$23)+1</formula>
    </cfRule>
  </conditionalFormatting>
  <hyperlinks>
    <hyperlink ref="N2" location="'Barley (Moist) Crop'!A1" display="Return to Barley (Moist) as variable"/>
    <hyperlink ref="N3" location="'Barley (Moist) MR'!A1" display="Go to Marginal Return Chart"/>
    <hyperlink ref="N5" location="'Data Entry'!A1" display="Return to Data Entry"/>
  </hyperlink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S30"/>
  <sheetViews>
    <sheetView showGridLines="0" zoomScalePageLayoutView="0" workbookViewId="0" topLeftCell="A1">
      <selection activeCell="N5" sqref="N5"/>
    </sheetView>
  </sheetViews>
  <sheetFormatPr defaultColWidth="9.140625" defaultRowHeight="12.75"/>
  <cols>
    <col min="1" max="1" width="1.57421875" style="10" customWidth="1"/>
    <col min="2" max="2" width="17.28125" style="10" customWidth="1"/>
    <col min="3" max="5" width="9.140625" style="10" customWidth="1"/>
    <col min="6" max="6" width="13.57421875" style="10" customWidth="1"/>
    <col min="7" max="13" width="9.140625" style="10" customWidth="1"/>
    <col min="14" max="14" width="24.0039062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87</v>
      </c>
    </row>
    <row r="3" spans="1:14" ht="21">
      <c r="A3" s="11"/>
      <c r="B3" s="256" t="s">
        <v>48</v>
      </c>
      <c r="C3" s="257"/>
      <c r="D3" s="257"/>
      <c r="E3" s="257"/>
      <c r="F3" s="257"/>
      <c r="G3" s="257"/>
      <c r="H3" s="257"/>
      <c r="I3" s="257"/>
      <c r="J3" s="257"/>
      <c r="K3" s="257"/>
      <c r="L3" s="257"/>
      <c r="M3" s="258"/>
      <c r="N3" s="163" t="s">
        <v>69</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61</v>
      </c>
      <c r="C7" s="239"/>
      <c r="D7" s="18"/>
      <c r="E7" s="18"/>
      <c r="F7" s="18"/>
      <c r="G7" s="18"/>
      <c r="H7" s="19"/>
      <c r="I7" s="18"/>
      <c r="J7" s="19"/>
      <c r="K7" s="12"/>
      <c r="L7" s="12"/>
      <c r="M7" s="15"/>
    </row>
    <row r="8" spans="1:13" ht="15" customHeight="1">
      <c r="A8" s="16"/>
      <c r="B8" s="87" t="s">
        <v>58</v>
      </c>
      <c r="C8" s="21" t="s">
        <v>62</v>
      </c>
      <c r="D8" s="18"/>
      <c r="E8" s="22"/>
      <c r="F8" s="23"/>
      <c r="G8" s="23"/>
      <c r="H8" s="230" t="s">
        <v>63</v>
      </c>
      <c r="I8" s="231"/>
      <c r="J8" s="231"/>
      <c r="K8" s="231"/>
      <c r="L8" s="231"/>
      <c r="M8" s="24"/>
    </row>
    <row r="9" spans="1:13" ht="13.5">
      <c r="A9" s="16"/>
      <c r="B9" s="20" t="s">
        <v>60</v>
      </c>
      <c r="C9" s="83">
        <f>'Data Entry'!F15</f>
        <v>2.5</v>
      </c>
      <c r="D9" s="18"/>
      <c r="E9" s="17"/>
      <c r="F9" s="18"/>
      <c r="G9" s="18"/>
      <c r="H9" s="19"/>
      <c r="I9" s="18"/>
      <c r="J9" s="19"/>
      <c r="K9" s="12"/>
      <c r="L9" s="12"/>
      <c r="M9" s="15"/>
    </row>
    <row r="10" spans="1:13" ht="13.5">
      <c r="A10" s="16"/>
      <c r="B10" s="30" t="s">
        <v>20</v>
      </c>
      <c r="C10" s="106">
        <f>'Data Entry'!C11</f>
        <v>10</v>
      </c>
      <c r="D10" s="18"/>
      <c r="E10" s="17"/>
      <c r="F10" s="18"/>
      <c r="G10" s="108">
        <f>H10-$C$12</f>
        <v>450</v>
      </c>
      <c r="H10" s="108">
        <f>I10-$C$12</f>
        <v>500</v>
      </c>
      <c r="I10" s="108">
        <f>J10-$C$12</f>
        <v>550</v>
      </c>
      <c r="J10" s="109">
        <f>'Data Entry'!C8</f>
        <v>600</v>
      </c>
      <c r="K10" s="108">
        <f>J10+$C$12</f>
        <v>650</v>
      </c>
      <c r="L10" s="108">
        <f>K10+$C$12</f>
        <v>700</v>
      </c>
      <c r="M10" s="110">
        <f>L10+$C$12</f>
        <v>750</v>
      </c>
    </row>
    <row r="11" spans="1:13" ht="13.5">
      <c r="A11" s="16"/>
      <c r="B11" s="33" t="s">
        <v>113</v>
      </c>
      <c r="C11" s="46"/>
      <c r="D11" s="18"/>
      <c r="E11" s="17"/>
      <c r="F11" s="29" t="s">
        <v>6</v>
      </c>
      <c r="G11" s="18"/>
      <c r="H11" s="18"/>
      <c r="I11" s="18"/>
      <c r="J11" s="12"/>
      <c r="K11" s="12"/>
      <c r="L11" s="12"/>
      <c r="M11" s="15"/>
    </row>
    <row r="12" spans="1:13" ht="13.5">
      <c r="A12" s="16"/>
      <c r="B12" s="37" t="s">
        <v>56</v>
      </c>
      <c r="C12" s="61">
        <f>'Data Entry'!C17</f>
        <v>50</v>
      </c>
      <c r="D12" s="18"/>
      <c r="E12" s="32"/>
      <c r="F12" s="29" t="s">
        <v>7</v>
      </c>
      <c r="G12" s="264" t="s">
        <v>8</v>
      </c>
      <c r="H12" s="264"/>
      <c r="I12" s="264"/>
      <c r="J12" s="264"/>
      <c r="K12" s="264"/>
      <c r="L12" s="264"/>
      <c r="M12" s="265"/>
    </row>
    <row r="13" spans="1:13" ht="14.25" thickBot="1">
      <c r="A13" s="16"/>
      <c r="B13" s="43" t="s">
        <v>28</v>
      </c>
      <c r="C13" s="46"/>
      <c r="D13" s="18"/>
      <c r="E13" s="35" t="s">
        <v>9</v>
      </c>
      <c r="F13" s="36" t="s">
        <v>10</v>
      </c>
      <c r="G13" s="228" t="s">
        <v>23</v>
      </c>
      <c r="H13" s="228"/>
      <c r="I13" s="228"/>
      <c r="J13" s="228"/>
      <c r="K13" s="228"/>
      <c r="L13" s="228"/>
      <c r="M13" s="229"/>
    </row>
    <row r="14" spans="1:13" ht="13.5">
      <c r="A14" s="16"/>
      <c r="B14" s="113" t="s">
        <v>29</v>
      </c>
      <c r="C14" s="107">
        <f>'Data Entry'!C15</f>
        <v>30</v>
      </c>
      <c r="D14" s="18"/>
      <c r="E14" s="39" t="s">
        <v>11</v>
      </c>
      <c r="F14" s="40" t="s">
        <v>12</v>
      </c>
      <c r="G14" s="111">
        <f>'Data Entry'!$F$15/(G$10/(('Data Entry'!$C$9/100)*2200))</f>
        <v>5.622222222222223</v>
      </c>
      <c r="H14" s="111">
        <f>'Data Entry'!$F$15/(H$10/(('Data Entry'!$C$9/100)*2200))</f>
        <v>5.0600000000000005</v>
      </c>
      <c r="I14" s="111">
        <f>'Data Entry'!$F$15/(I$10/(('Data Entry'!$C$9/100)*2200))</f>
        <v>4.6000000000000005</v>
      </c>
      <c r="J14" s="111">
        <f>'Data Entry'!$F$15/(J$10/(('Data Entry'!$C$9/100)*2200))</f>
        <v>4.216666666666667</v>
      </c>
      <c r="K14" s="111">
        <f>'Data Entry'!$F$15/(K$10/(('Data Entry'!$C$9/100)*2200))</f>
        <v>3.8923076923076927</v>
      </c>
      <c r="L14" s="111">
        <f>'Data Entry'!$F$15/(L$10/(('Data Entry'!$C$9/100)*2200))</f>
        <v>3.6142857142857143</v>
      </c>
      <c r="M14" s="112">
        <f>'Data Entry'!$F$15/(M$10/(('Data Entry'!$C$9/100)*2200))</f>
        <v>3.373333333333333</v>
      </c>
    </row>
    <row r="15" spans="1:13" ht="13.5">
      <c r="A15" s="16"/>
      <c r="B15" s="43" t="s">
        <v>30</v>
      </c>
      <c r="C15" s="46"/>
      <c r="D15" s="18"/>
      <c r="E15" s="195">
        <f>IF((E19-4*$C$10)&lt;0,0,(E19-4*$C$10))</f>
        <v>10</v>
      </c>
      <c r="F15" s="128">
        <f aca="true" t="shared" si="0" ref="F15:F23">IF(((-0.0082*(E15+$C$14)^2+1.5595*(E15+$C$14))-(-0.0082*($C$14)^2+1.5595*($C$14)))&lt;0,0,(-0.0082*(E15+$C$14)^2+1.5595*(E15+$C$14))-(-0.0082*($C$14)^2+1.5595*($C$14)))</f>
        <v>9.855000000000004</v>
      </c>
      <c r="G15" s="137">
        <f>('Data Entry'!$F$15*$F15)-(G$10/(('Data Entry'!$C$9/100)*2200))*($E15)</f>
        <v>20.19085968379448</v>
      </c>
      <c r="H15" s="137">
        <f>('Data Entry'!$F$15*$F15)-(H$10/(('Data Entry'!$C$9/100)*2200))*($E15)</f>
        <v>19.696788537549416</v>
      </c>
      <c r="I15" s="137">
        <f>('Data Entry'!$F$15*$F15)-(I$10/(('Data Entry'!$C$9/100)*2200))*($E15)</f>
        <v>19.202717391304358</v>
      </c>
      <c r="J15" s="137">
        <f>('Data Entry'!$F$15*$F15)-(J$10/(('Data Entry'!$C$9/100)*2200))*($E15)</f>
        <v>18.7086462450593</v>
      </c>
      <c r="K15" s="137">
        <f>('Data Entry'!$F$15*$F15)-(K$10/(('Data Entry'!$C$9/100)*2200))*($E15)</f>
        <v>18.21457509881424</v>
      </c>
      <c r="L15" s="137">
        <f>('Data Entry'!$F$15*$F15)-(L$10/(('Data Entry'!$C$9/100)*2200))*($E15)</f>
        <v>17.72050395256918</v>
      </c>
      <c r="M15" s="138">
        <f>('Data Entry'!$F$15*$F15)-(M$10/(('Data Entry'!$C$9/100)*2200))*($E15)</f>
        <v>17.22643280632412</v>
      </c>
    </row>
    <row r="16" spans="1:13" ht="13.5">
      <c r="A16" s="16"/>
      <c r="B16" s="54"/>
      <c r="D16" s="18"/>
      <c r="E16" s="195">
        <f>IF((E20-4*$C$10)&lt;0,0,(E20-4*$C$10))</f>
        <v>20</v>
      </c>
      <c r="F16" s="128">
        <f t="shared" si="0"/>
        <v>18.070000000000007</v>
      </c>
      <c r="G16" s="137">
        <f>('Data Entry'!$F$15*$F16)-(G$10/(('Data Entry'!$C$9/100)*2200))*($E16)</f>
        <v>36.28171936758895</v>
      </c>
      <c r="H16" s="137">
        <f>('Data Entry'!$F$15*$F16)-(H$10/(('Data Entry'!$C$9/100)*2200))*($E16)</f>
        <v>35.29357707509883</v>
      </c>
      <c r="I16" s="137">
        <f>('Data Entry'!$F$15*$F16)-(I$10/(('Data Entry'!$C$9/100)*2200))*($E16)</f>
        <v>34.305434782608714</v>
      </c>
      <c r="J16" s="137">
        <f>('Data Entry'!$F$15*$F16)-(J$10/(('Data Entry'!$C$9/100)*2200))*($E16)</f>
        <v>33.3172924901186</v>
      </c>
      <c r="K16" s="137">
        <f>('Data Entry'!$F$15*$F16)-(K$10/(('Data Entry'!$C$9/100)*2200))*($E16)</f>
        <v>32.32915019762848</v>
      </c>
      <c r="L16" s="137">
        <f>('Data Entry'!$F$15*$F16)-(L$10/(('Data Entry'!$C$9/100)*2200))*($E16)</f>
        <v>31.34100790513836</v>
      </c>
      <c r="M16" s="138">
        <f>('Data Entry'!$F$15*$F16)-(M$10/(('Data Entry'!$C$9/100)*2200))*($E16)</f>
        <v>30.352865612648237</v>
      </c>
    </row>
    <row r="17" spans="1:13" ht="13.5">
      <c r="A17" s="16"/>
      <c r="B17" s="54"/>
      <c r="D17" s="18"/>
      <c r="E17" s="195">
        <f>IF((E21-4*$C$10)&lt;0,0,(E21-4*$C$10))</f>
        <v>30</v>
      </c>
      <c r="F17" s="128">
        <f t="shared" si="0"/>
        <v>24.64500000000001</v>
      </c>
      <c r="G17" s="137">
        <f>('Data Entry'!$F$15*$F17)-(G$10/(('Data Entry'!$C$9/100)*2200))*($E17)</f>
        <v>48.272579051383424</v>
      </c>
      <c r="H17" s="137">
        <f>('Data Entry'!$F$15*$F17)-(H$10/(('Data Entry'!$C$9/100)*2200))*($E17)</f>
        <v>46.790365612648245</v>
      </c>
      <c r="I17" s="137">
        <f>('Data Entry'!$F$15*$F17)-(I$10/(('Data Entry'!$C$9/100)*2200))*($E17)</f>
        <v>45.30815217391307</v>
      </c>
      <c r="J17" s="137">
        <f>('Data Entry'!$F$15*$F17)-(J$10/(('Data Entry'!$C$9/100)*2200))*($E17)</f>
        <v>43.825938735177886</v>
      </c>
      <c r="K17" s="137">
        <f>('Data Entry'!$F$15*$F17)-(K$10/(('Data Entry'!$C$9/100)*2200))*($E17)</f>
        <v>42.34372529644271</v>
      </c>
      <c r="L17" s="137">
        <f>('Data Entry'!$F$15*$F17)-(L$10/(('Data Entry'!$C$9/100)*2200))*($E17)</f>
        <v>40.861511857707534</v>
      </c>
      <c r="M17" s="138">
        <f>('Data Entry'!$F$15*$F17)-(M$10/(('Data Entry'!$C$9/100)*2200))*($E17)</f>
        <v>39.379298418972354</v>
      </c>
    </row>
    <row r="18" spans="1:13" ht="14.25" thickBot="1">
      <c r="A18" s="16"/>
      <c r="B18" s="17"/>
      <c r="C18" s="18"/>
      <c r="D18" s="18"/>
      <c r="E18" s="198">
        <f>IF((E22-4*$C$10)&lt;0,0,(E22-4*$C$10))</f>
        <v>40</v>
      </c>
      <c r="F18" s="128">
        <f t="shared" si="0"/>
        <v>29.58</v>
      </c>
      <c r="G18" s="137">
        <f>('Data Entry'!$F$15*$F18)-(G$10/(('Data Entry'!$C$9/100)*2200))*($E18)</f>
        <v>56.163438735177856</v>
      </c>
      <c r="H18" s="137">
        <f>('Data Entry'!$F$15*$F18)-(H$10/(('Data Entry'!$C$9/100)*2200))*($E18)</f>
        <v>54.187154150197614</v>
      </c>
      <c r="I18" s="137">
        <f>('Data Entry'!$F$15*$F18)-(I$10/(('Data Entry'!$C$9/100)*2200))*($E18)</f>
        <v>52.21086956521738</v>
      </c>
      <c r="J18" s="137">
        <f>('Data Entry'!$F$15*$F18)-(J$10/(('Data Entry'!$C$9/100)*2200))*($E18)</f>
        <v>50.234584980237145</v>
      </c>
      <c r="K18" s="137">
        <f>('Data Entry'!$F$15*$F18)-(K$10/(('Data Entry'!$C$9/100)*2200))*($E18)</f>
        <v>48.25830039525691</v>
      </c>
      <c r="L18" s="137">
        <f>('Data Entry'!$F$15*$F18)-(L$10/(('Data Entry'!$C$9/100)*2200))*($E18)</f>
        <v>46.28201581027667</v>
      </c>
      <c r="M18" s="138">
        <f>('Data Entry'!$F$15*$F18)-(M$10/(('Data Entry'!$C$9/100)*2200))*($E18)</f>
        <v>44.30573122529643</v>
      </c>
    </row>
    <row r="19" spans="1:13" ht="14.25" thickBot="1">
      <c r="A19" s="16"/>
      <c r="B19" s="54"/>
      <c r="C19" s="48"/>
      <c r="D19" s="49" t="s">
        <v>13</v>
      </c>
      <c r="E19" s="50">
        <f>'Data Entry'!G10</f>
        <v>50</v>
      </c>
      <c r="F19" s="197">
        <f t="shared" si="0"/>
        <v>32.875</v>
      </c>
      <c r="G19" s="137">
        <f>('Data Entry'!$F$15*$F19)-(G$10/(('Data Entry'!$C$9/100)*2200))*($E19)</f>
        <v>59.95429841897233</v>
      </c>
      <c r="H19" s="137">
        <f>('Data Entry'!$F$15*$F19)-(H$10/(('Data Entry'!$C$9/100)*2200))*($E19)</f>
        <v>57.48394268774703</v>
      </c>
      <c r="I19" s="137">
        <f>('Data Entry'!$F$15*$F19)-(I$10/(('Data Entry'!$C$9/100)*2200))*($E19)</f>
        <v>55.01358695652174</v>
      </c>
      <c r="J19" s="137">
        <f>('Data Entry'!$F$15*$F19)-(J$10/(('Data Entry'!$C$9/100)*2200))*($E19)</f>
        <v>52.54323122529644</v>
      </c>
      <c r="K19" s="137">
        <f>('Data Entry'!$F$15*$F19)-(K$10/(('Data Entry'!$C$9/100)*2200))*($E19)</f>
        <v>50.07287549407115</v>
      </c>
      <c r="L19" s="137">
        <f>('Data Entry'!$F$15*$F19)-(L$10/(('Data Entry'!$C$9/100)*2200))*($E19)</f>
        <v>47.60251976284585</v>
      </c>
      <c r="M19" s="138">
        <f>('Data Entry'!$F$15*$F19)-(M$10/(('Data Entry'!$C$9/100)*2200))*($E19)</f>
        <v>45.13216403162055</v>
      </c>
    </row>
    <row r="20" spans="1:13" ht="13.5">
      <c r="A20" s="16"/>
      <c r="B20" s="17"/>
      <c r="C20" s="18"/>
      <c r="D20" s="18"/>
      <c r="E20" s="199">
        <f>E19+C10</f>
        <v>60</v>
      </c>
      <c r="F20" s="128">
        <f t="shared" si="0"/>
        <v>34.530000000000015</v>
      </c>
      <c r="G20" s="137">
        <f>('Data Entry'!$F$15*$F20)-(G$10/(('Data Entry'!$C$9/100)*2200))*($E20)</f>
        <v>59.64515810276684</v>
      </c>
      <c r="H20" s="137">
        <f>('Data Entry'!$F$15*$F20)-(H$10/(('Data Entry'!$C$9/100)*2200))*($E20)</f>
        <v>56.68073122529649</v>
      </c>
      <c r="I20" s="137">
        <f>('Data Entry'!$F$15*$F20)-(I$10/(('Data Entry'!$C$9/100)*2200))*($E20)</f>
        <v>53.71630434782613</v>
      </c>
      <c r="J20" s="137">
        <f>('Data Entry'!$F$15*$F20)-(J$10/(('Data Entry'!$C$9/100)*2200))*($E20)</f>
        <v>50.75187747035577</v>
      </c>
      <c r="K20" s="137">
        <f>('Data Entry'!$F$15*$F20)-(K$10/(('Data Entry'!$C$9/100)*2200))*($E20)</f>
        <v>47.78745059288542</v>
      </c>
      <c r="L20" s="137">
        <f>('Data Entry'!$F$15*$F20)-(L$10/(('Data Entry'!$C$9/100)*2200))*($E20)</f>
        <v>44.82302371541506</v>
      </c>
      <c r="M20" s="138">
        <f>('Data Entry'!$F$15*$F20)-(M$10/(('Data Entry'!$C$9/100)*2200))*($E20)</f>
        <v>41.85859683794471</v>
      </c>
    </row>
    <row r="21" spans="1:13" ht="13.5">
      <c r="A21" s="16"/>
      <c r="B21" s="17"/>
      <c r="C21" s="18"/>
      <c r="D21" s="18"/>
      <c r="E21" s="195">
        <f>E19+2*C10</f>
        <v>70</v>
      </c>
      <c r="F21" s="128">
        <f t="shared" si="0"/>
        <v>34.545000000000016</v>
      </c>
      <c r="G21" s="137">
        <f>('Data Entry'!$F$15*$F21)-(G$10/(('Data Entry'!$C$9/100)*2200))*($E21)</f>
        <v>55.236017786561305</v>
      </c>
      <c r="H21" s="137">
        <f>('Data Entry'!$F$15*$F21)-(H$10/(('Data Entry'!$C$9/100)*2200))*($E21)</f>
        <v>51.77751976284589</v>
      </c>
      <c r="I21" s="137">
        <f>('Data Entry'!$F$15*$F21)-(I$10/(('Data Entry'!$C$9/100)*2200))*($E21)</f>
        <v>48.31902173913048</v>
      </c>
      <c r="J21" s="137">
        <f>('Data Entry'!$F$15*$F21)-(J$10/(('Data Entry'!$C$9/100)*2200))*($E21)</f>
        <v>44.860523715415056</v>
      </c>
      <c r="K21" s="137">
        <f>('Data Entry'!$F$15*$F21)-(K$10/(('Data Entry'!$C$9/100)*2200))*($E21)</f>
        <v>41.40202569169965</v>
      </c>
      <c r="L21" s="137">
        <f>('Data Entry'!$F$15*$F21)-(L$10/(('Data Entry'!$C$9/100)*2200))*($E21)</f>
        <v>37.94352766798423</v>
      </c>
      <c r="M21" s="138">
        <f>('Data Entry'!$F$15*$F21)-(M$10/(('Data Entry'!$C$9/100)*2200))*($E21)</f>
        <v>34.48502964426881</v>
      </c>
    </row>
    <row r="22" spans="1:13" ht="13.5">
      <c r="A22" s="16"/>
      <c r="B22" s="17"/>
      <c r="C22" s="18"/>
      <c r="D22" s="18"/>
      <c r="E22" s="195">
        <f>E19+3*C10</f>
        <v>80</v>
      </c>
      <c r="F22" s="128">
        <f t="shared" si="0"/>
        <v>32.92</v>
      </c>
      <c r="G22" s="137">
        <f>('Data Entry'!$F$15*$F22)-(G$10/(('Data Entry'!$C$9/100)*2200))*($E22)</f>
        <v>46.726877470355745</v>
      </c>
      <c r="H22" s="137">
        <f>('Data Entry'!$F$15*$F22)-(H$10/(('Data Entry'!$C$9/100)*2200))*($E22)</f>
        <v>42.77430830039527</v>
      </c>
      <c r="I22" s="137">
        <f>('Data Entry'!$F$15*$F22)-(I$10/(('Data Entry'!$C$9/100)*2200))*($E22)</f>
        <v>38.82173913043479</v>
      </c>
      <c r="J22" s="137">
        <f>('Data Entry'!$F$15*$F22)-(J$10/(('Data Entry'!$C$9/100)*2200))*($E22)</f>
        <v>34.869169960474316</v>
      </c>
      <c r="K22" s="137">
        <f>('Data Entry'!$F$15*$F22)-(K$10/(('Data Entry'!$C$9/100)*2200))*($E22)</f>
        <v>30.916600790513847</v>
      </c>
      <c r="L22" s="137">
        <f>('Data Entry'!$F$15*$F22)-(L$10/(('Data Entry'!$C$9/100)*2200))*($E22)</f>
        <v>26.96403162055337</v>
      </c>
      <c r="M22" s="138">
        <f>('Data Entry'!$F$15*$F22)-(M$10/(('Data Entry'!$C$9/100)*2200))*($E22)</f>
        <v>23.011462450592894</v>
      </c>
    </row>
    <row r="23" spans="1:13" ht="13.5">
      <c r="A23" s="16"/>
      <c r="B23" s="17"/>
      <c r="C23" s="18"/>
      <c r="D23" s="18"/>
      <c r="E23" s="195">
        <f>E19+4*C10</f>
        <v>90</v>
      </c>
      <c r="F23" s="128">
        <f t="shared" si="0"/>
        <v>29.655</v>
      </c>
      <c r="G23" s="137">
        <f>('Data Entry'!$F$15*$F23)-(G$10/(('Data Entry'!$C$9/100)*2200))*($E23)</f>
        <v>34.1177371541502</v>
      </c>
      <c r="H23" s="137">
        <f>('Data Entry'!$F$15*$F23)-(H$10/(('Data Entry'!$C$9/100)*2200))*($E23)</f>
        <v>29.671096837944667</v>
      </c>
      <c r="I23" s="137">
        <f>('Data Entry'!$F$15*$F23)-(I$10/(('Data Entry'!$C$9/100)*2200))*($E23)</f>
        <v>25.224456521739135</v>
      </c>
      <c r="J23" s="137">
        <f>('Data Entry'!$F$15*$F23)-(J$10/(('Data Entry'!$C$9/100)*2200))*($E23)</f>
        <v>20.777816205533597</v>
      </c>
      <c r="K23" s="137">
        <f>('Data Entry'!$F$15*$F23)-(K$10/(('Data Entry'!$C$9/100)*2200))*($E23)</f>
        <v>16.331175889328073</v>
      </c>
      <c r="L23" s="137">
        <f>('Data Entry'!$F$15*$F23)-(L$10/(('Data Entry'!$C$9/100)*2200))*($E23)</f>
        <v>11.884535573122534</v>
      </c>
      <c r="M23" s="138">
        <f>('Data Entry'!$F$15*$F23)-(M$10/(('Data Entry'!$C$9/100)*2200))*($E23)</f>
        <v>7.437895256916988</v>
      </c>
    </row>
    <row r="24" spans="1:13" ht="13.5" customHeight="1">
      <c r="A24" s="16"/>
      <c r="B24" s="17"/>
      <c r="C24" s="18"/>
      <c r="D24" s="18"/>
      <c r="E24" s="266" t="s">
        <v>54</v>
      </c>
      <c r="F24" s="267"/>
      <c r="G24" s="277"/>
      <c r="H24" s="277"/>
      <c r="I24" s="277"/>
      <c r="J24" s="277"/>
      <c r="K24" s="277"/>
      <c r="L24" s="277"/>
      <c r="M24" s="278"/>
    </row>
    <row r="25" spans="1:13" ht="9.75" customHeight="1">
      <c r="A25" s="16"/>
      <c r="B25" s="17"/>
      <c r="C25" s="18"/>
      <c r="D25" s="18"/>
      <c r="E25" s="266" t="s">
        <v>16</v>
      </c>
      <c r="F25" s="267"/>
      <c r="G25" s="267"/>
      <c r="H25" s="267"/>
      <c r="I25" s="267"/>
      <c r="J25" s="267"/>
      <c r="K25" s="267"/>
      <c r="L25" s="267"/>
      <c r="M25" s="268"/>
    </row>
    <row r="26" spans="1:13" ht="9.75" customHeight="1">
      <c r="A26" s="16"/>
      <c r="B26" s="17"/>
      <c r="C26" s="18"/>
      <c r="D26" s="18"/>
      <c r="E26" s="266" t="s">
        <v>24</v>
      </c>
      <c r="F26" s="267"/>
      <c r="G26" s="267"/>
      <c r="H26" s="267"/>
      <c r="I26" s="267"/>
      <c r="J26" s="267"/>
      <c r="K26" s="267"/>
      <c r="L26" s="267"/>
      <c r="M26" s="268"/>
    </row>
    <row r="27" spans="1:19" ht="11.25" customHeight="1">
      <c r="A27" s="16"/>
      <c r="B27" s="17"/>
      <c r="C27" s="18"/>
      <c r="D27" s="18"/>
      <c r="E27" s="245" t="s">
        <v>91</v>
      </c>
      <c r="F27" s="279"/>
      <c r="G27" s="279"/>
      <c r="H27" s="279"/>
      <c r="I27" s="279"/>
      <c r="J27" s="279"/>
      <c r="K27" s="279"/>
      <c r="L27" s="279"/>
      <c r="M27" s="280"/>
      <c r="N27" s="132"/>
      <c r="O27"/>
      <c r="P27"/>
      <c r="Q27"/>
      <c r="R27"/>
      <c r="S27"/>
    </row>
    <row r="28" spans="1:13" ht="12" customHeight="1" thickBot="1">
      <c r="A28" s="16"/>
      <c r="B28" s="17"/>
      <c r="C28" s="18"/>
      <c r="D28" s="18"/>
      <c r="E28" s="269" t="s">
        <v>38</v>
      </c>
      <c r="F28" s="271"/>
      <c r="G28" s="271"/>
      <c r="H28" s="271"/>
      <c r="I28" s="271"/>
      <c r="J28" s="272"/>
      <c r="K28" s="272"/>
      <c r="L28" s="272"/>
      <c r="M28" s="273"/>
    </row>
    <row r="29" spans="1:13" ht="11.25" customHeight="1">
      <c r="A29" s="16"/>
      <c r="B29" s="17"/>
      <c r="C29" s="18"/>
      <c r="D29" s="18"/>
      <c r="E29" s="53"/>
      <c r="F29" s="53"/>
      <c r="G29" s="53"/>
      <c r="H29" s="53"/>
      <c r="I29" s="53"/>
      <c r="J29" s="12"/>
      <c r="K29" s="12"/>
      <c r="L29" s="12"/>
      <c r="M29" s="15"/>
    </row>
    <row r="30" spans="2:13" ht="11.25" customHeight="1" thickBot="1">
      <c r="B30" s="224"/>
      <c r="C30" s="225"/>
      <c r="D30" s="225"/>
      <c r="E30" s="225"/>
      <c r="F30" s="225"/>
      <c r="G30" s="225"/>
      <c r="H30" s="225"/>
      <c r="I30" s="225"/>
      <c r="J30" s="55"/>
      <c r="K30" s="55"/>
      <c r="L30" s="55"/>
      <c r="M30" s="56"/>
    </row>
  </sheetData>
  <sheetProtection/>
  <mergeCells count="13">
    <mergeCell ref="H8:L8"/>
    <mergeCell ref="G12:M12"/>
    <mergeCell ref="G13:M13"/>
    <mergeCell ref="B2:M2"/>
    <mergeCell ref="B3:M3"/>
    <mergeCell ref="B5:D5"/>
    <mergeCell ref="B7:C7"/>
    <mergeCell ref="E24:M24"/>
    <mergeCell ref="E27:M27"/>
    <mergeCell ref="E28:M28"/>
    <mergeCell ref="B30:I30"/>
    <mergeCell ref="E25:M25"/>
    <mergeCell ref="E26:M26"/>
  </mergeCells>
  <conditionalFormatting sqref="M15:M23">
    <cfRule type="cellIs" priority="1" dxfId="2" operator="equal" stopIfTrue="1">
      <formula>MAX($M$15:$M$23)</formula>
    </cfRule>
    <cfRule type="cellIs" priority="2" dxfId="0" operator="between" stopIfTrue="1">
      <formula>MAX($M$15:$M$23)</formula>
      <formula>MAX($M$15:$M$23)-1</formula>
    </cfRule>
    <cfRule type="cellIs" priority="3" dxfId="0" operator="between" stopIfTrue="1">
      <formula>MAX($M$15:$M$23)</formula>
      <formula>MAX($M$15:$M$23)+1</formula>
    </cfRule>
  </conditionalFormatting>
  <conditionalFormatting sqref="G15:G23">
    <cfRule type="cellIs" priority="4" dxfId="2" operator="equal" stopIfTrue="1">
      <formula>MAX($G$15:$G$23)</formula>
    </cfRule>
    <cfRule type="cellIs" priority="5" dxfId="0" operator="between" stopIfTrue="1">
      <formula>MAX($G$15:$G$23)</formula>
      <formula>MAX($G$15:$G$23)-1</formula>
    </cfRule>
    <cfRule type="cellIs" priority="6" dxfId="0" operator="between" stopIfTrue="1">
      <formula>MAX($G$15:$G$23)</formula>
      <formula>MAX($G$15:$G$23)+1</formula>
    </cfRule>
  </conditionalFormatting>
  <conditionalFormatting sqref="I15:I23">
    <cfRule type="cellIs" priority="7" dxfId="2" operator="equal" stopIfTrue="1">
      <formula>MAX($I$15:$I$23)</formula>
    </cfRule>
    <cfRule type="cellIs" priority="8" dxfId="0" operator="between" stopIfTrue="1">
      <formula>MAX($I$15:$I$23)</formula>
      <formula>MAX($I$15:$I$23)-1</formula>
    </cfRule>
    <cfRule type="cellIs" priority="9" dxfId="0" operator="between" stopIfTrue="1">
      <formula>MAX($I$15:$I$23)</formula>
      <formula>MAX($I$15:$I$23)+1</formula>
    </cfRule>
  </conditionalFormatting>
  <conditionalFormatting sqref="J15:J23">
    <cfRule type="cellIs" priority="10" dxfId="2" operator="equal" stopIfTrue="1">
      <formula>MAX($J$15:$J$23)</formula>
    </cfRule>
    <cfRule type="cellIs" priority="11" dxfId="0" operator="between" stopIfTrue="1">
      <formula>MAX($J$15:$J$23)</formula>
      <formula>MAX($J$15:$J$23)-1</formula>
    </cfRule>
    <cfRule type="cellIs" priority="12" dxfId="0" operator="between" stopIfTrue="1">
      <formula>MAX($J$15:$J$23)</formula>
      <formula>MAX($J$15:$J$23)+1</formula>
    </cfRule>
  </conditionalFormatting>
  <conditionalFormatting sqref="K15:K23">
    <cfRule type="cellIs" priority="13" dxfId="2" operator="equal" stopIfTrue="1">
      <formula>MAX($K$15:$K$23)</formula>
    </cfRule>
    <cfRule type="cellIs" priority="14" dxfId="0" operator="between" stopIfTrue="1">
      <formula>MAX($K$15:$K$23)</formula>
      <formula>MAX($K$15:$K$23)-1</formula>
    </cfRule>
    <cfRule type="cellIs" priority="15" dxfId="0" operator="between" stopIfTrue="1">
      <formula>MAX($K$15:$K$23)</formula>
      <formula>MAX($K$15:$K$23)+1</formula>
    </cfRule>
  </conditionalFormatting>
  <conditionalFormatting sqref="L15:L23">
    <cfRule type="cellIs" priority="16" dxfId="2" operator="equal" stopIfTrue="1">
      <formula>MAX($L$15:$L$23)</formula>
    </cfRule>
    <cfRule type="cellIs" priority="17" dxfId="0" operator="between" stopIfTrue="1">
      <formula>MAX($L$15:$L$23)</formula>
      <formula>MAX($L$15:$L$23)-1</formula>
    </cfRule>
    <cfRule type="cellIs" priority="18" dxfId="0" operator="between" stopIfTrue="1">
      <formula>MAX($L$15:$L$23)</formula>
      <formula>MAX($L$15:$L$23)+1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MAX($H$15:$HG$23)+1</formula>
    </cfRule>
  </conditionalFormatting>
  <hyperlinks>
    <hyperlink ref="N2" location="'Barley (Dry) Crop'!A1" display="Return to Barley (Dry) as variable"/>
    <hyperlink ref="N3" location="'Barley (Dry) MR'!A1" display="Go to Marginal Return Chart"/>
    <hyperlink ref="N5" location="'Data Entry'!A1" display="Return to Data Entry"/>
  </hyperlink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S30"/>
  <sheetViews>
    <sheetView showGridLines="0" zoomScalePageLayoutView="0" workbookViewId="0" topLeftCell="A1">
      <selection activeCell="N5" sqref="N5"/>
    </sheetView>
  </sheetViews>
  <sheetFormatPr defaultColWidth="9.140625" defaultRowHeight="12.75"/>
  <cols>
    <col min="1" max="1" width="1.57421875" style="10" customWidth="1"/>
    <col min="2" max="2" width="17.28125" style="10" customWidth="1"/>
    <col min="3" max="5" width="9.140625" style="10" customWidth="1"/>
    <col min="6" max="6" width="13.57421875" style="10" customWidth="1"/>
    <col min="7" max="13" width="9.140625" style="10" customWidth="1"/>
    <col min="14" max="14" width="28.0039062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84</v>
      </c>
    </row>
    <row r="3" spans="1:14" ht="21">
      <c r="A3" s="11"/>
      <c r="B3" s="256" t="s">
        <v>49</v>
      </c>
      <c r="C3" s="257"/>
      <c r="D3" s="257"/>
      <c r="E3" s="257"/>
      <c r="F3" s="257"/>
      <c r="G3" s="257"/>
      <c r="H3" s="257"/>
      <c r="I3" s="257"/>
      <c r="J3" s="257"/>
      <c r="K3" s="257"/>
      <c r="L3" s="257"/>
      <c r="M3" s="258"/>
      <c r="N3" s="163" t="s">
        <v>69</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61</v>
      </c>
      <c r="C7" s="239"/>
      <c r="D7" s="18"/>
      <c r="E7" s="18"/>
      <c r="F7" s="18"/>
      <c r="G7" s="18"/>
      <c r="H7" s="19"/>
      <c r="I7" s="18"/>
      <c r="J7" s="19"/>
      <c r="K7" s="12"/>
      <c r="L7" s="12"/>
      <c r="M7" s="15"/>
    </row>
    <row r="8" spans="1:13" ht="15" customHeight="1">
      <c r="A8" s="16"/>
      <c r="B8" s="87" t="s">
        <v>58</v>
      </c>
      <c r="C8" s="21" t="s">
        <v>62</v>
      </c>
      <c r="D8" s="18"/>
      <c r="E8" s="22"/>
      <c r="F8" s="23"/>
      <c r="G8" s="23"/>
      <c r="H8" s="230" t="s">
        <v>63</v>
      </c>
      <c r="I8" s="231"/>
      <c r="J8" s="231"/>
      <c r="K8" s="231"/>
      <c r="L8" s="231"/>
      <c r="M8" s="24"/>
    </row>
    <row r="9" spans="1:13" ht="13.5">
      <c r="A9" s="16"/>
      <c r="B9" s="20" t="s">
        <v>60</v>
      </c>
      <c r="C9" s="83">
        <f>'Data Entry'!F15</f>
        <v>2.5</v>
      </c>
      <c r="D9" s="18"/>
      <c r="E9" s="17"/>
      <c r="F9" s="18"/>
      <c r="G9" s="18"/>
      <c r="H9" s="19"/>
      <c r="I9" s="18"/>
      <c r="J9" s="19"/>
      <c r="K9" s="12"/>
      <c r="L9" s="12"/>
      <c r="M9" s="15"/>
    </row>
    <row r="10" spans="1:13" ht="13.5">
      <c r="A10" s="16"/>
      <c r="B10" s="30" t="s">
        <v>20</v>
      </c>
      <c r="C10" s="106">
        <f>'Data Entry'!C11</f>
        <v>10</v>
      </c>
      <c r="D10" s="18"/>
      <c r="E10" s="17"/>
      <c r="F10" s="18"/>
      <c r="G10" s="108">
        <f>H10-$C$12</f>
        <v>450</v>
      </c>
      <c r="H10" s="108">
        <f>I10-$C$12</f>
        <v>500</v>
      </c>
      <c r="I10" s="108">
        <f>J10-$C$12</f>
        <v>550</v>
      </c>
      <c r="J10" s="109">
        <f>'Data Entry'!C8</f>
        <v>600</v>
      </c>
      <c r="K10" s="108">
        <f>J10+$C$12</f>
        <v>650</v>
      </c>
      <c r="L10" s="108">
        <f>K10+$C$12</f>
        <v>700</v>
      </c>
      <c r="M10" s="110">
        <f>L10+$C$12</f>
        <v>750</v>
      </c>
    </row>
    <row r="11" spans="1:13" ht="13.5">
      <c r="A11" s="16"/>
      <c r="B11" s="33" t="s">
        <v>113</v>
      </c>
      <c r="C11" s="46"/>
      <c r="D11" s="18"/>
      <c r="E11" s="17"/>
      <c r="F11" s="29" t="s">
        <v>6</v>
      </c>
      <c r="G11" s="18"/>
      <c r="H11" s="18"/>
      <c r="I11" s="18"/>
      <c r="J11" s="12"/>
      <c r="K11" s="12"/>
      <c r="L11" s="12"/>
      <c r="M11" s="15"/>
    </row>
    <row r="12" spans="1:13" ht="13.5">
      <c r="A12" s="16"/>
      <c r="B12" s="37" t="s">
        <v>56</v>
      </c>
      <c r="C12" s="61">
        <f>'Data Entry'!C17</f>
        <v>50</v>
      </c>
      <c r="D12" s="18"/>
      <c r="E12" s="32"/>
      <c r="F12" s="29" t="s">
        <v>7</v>
      </c>
      <c r="G12" s="264" t="s">
        <v>8</v>
      </c>
      <c r="H12" s="264"/>
      <c r="I12" s="264"/>
      <c r="J12" s="264"/>
      <c r="K12" s="264"/>
      <c r="L12" s="264"/>
      <c r="M12" s="265"/>
    </row>
    <row r="13" spans="1:13" ht="14.25" thickBot="1">
      <c r="A13" s="16"/>
      <c r="B13" s="43" t="s">
        <v>28</v>
      </c>
      <c r="C13" s="46"/>
      <c r="D13" s="18"/>
      <c r="E13" s="35" t="s">
        <v>9</v>
      </c>
      <c r="F13" s="36" t="s">
        <v>10</v>
      </c>
      <c r="G13" s="228" t="s">
        <v>23</v>
      </c>
      <c r="H13" s="228"/>
      <c r="I13" s="228"/>
      <c r="J13" s="228"/>
      <c r="K13" s="228"/>
      <c r="L13" s="228"/>
      <c r="M13" s="229"/>
    </row>
    <row r="14" spans="1:13" ht="13.5">
      <c r="A14" s="16"/>
      <c r="B14" s="113" t="s">
        <v>29</v>
      </c>
      <c r="C14" s="107">
        <f>'Data Entry'!C15</f>
        <v>30</v>
      </c>
      <c r="D14" s="18"/>
      <c r="E14" s="39" t="s">
        <v>11</v>
      </c>
      <c r="F14" s="40" t="s">
        <v>12</v>
      </c>
      <c r="G14" s="111">
        <f>'Data Entry'!$F$15/(G$10/(('Data Entry'!$C$9/100)*2200))</f>
        <v>5.622222222222223</v>
      </c>
      <c r="H14" s="111">
        <f>'Data Entry'!$F$15/(H$10/(('Data Entry'!$C$9/100)*2200))</f>
        <v>5.0600000000000005</v>
      </c>
      <c r="I14" s="111">
        <f>'Data Entry'!$F$15/(I$10/(('Data Entry'!$C$9/100)*2200))</f>
        <v>4.6000000000000005</v>
      </c>
      <c r="J14" s="111">
        <f>'Data Entry'!$F$15/(J$10/(('Data Entry'!$C$9/100)*2200))</f>
        <v>4.216666666666667</v>
      </c>
      <c r="K14" s="111">
        <f>'Data Entry'!$F$15/(K$10/(('Data Entry'!$C$9/100)*2200))</f>
        <v>3.8923076923076927</v>
      </c>
      <c r="L14" s="111">
        <f>'Data Entry'!$F$15/(L$10/(('Data Entry'!$C$9/100)*2200))</f>
        <v>3.6142857142857143</v>
      </c>
      <c r="M14" s="112">
        <f>'Data Entry'!$F$15/(M$10/(('Data Entry'!$C$9/100)*2200))</f>
        <v>3.373333333333333</v>
      </c>
    </row>
    <row r="15" spans="1:13" ht="13.5">
      <c r="A15" s="16"/>
      <c r="B15" s="43" t="s">
        <v>30</v>
      </c>
      <c r="C15" s="46"/>
      <c r="D15" s="18"/>
      <c r="E15" s="195">
        <f>IF((E19-4*$C$10)&lt;0,0,(E19-4*$C$10))</f>
        <v>0</v>
      </c>
      <c r="F15" s="128">
        <f aca="true" t="shared" si="0" ref="F15:F23">IF(((-0.0032*(E15+$C$14)^2+0.6709*(E15+$C$14))-(-0.0032*($C$14)^2+0.6709*($C$14)))&lt;0,0,(-0.0032*(E15+$C$14)^2+0.6709*(E15+$C$14))-(-0.0032*($C$14)^2+0.6709*($C$14)))</f>
        <v>0</v>
      </c>
      <c r="G15" s="137">
        <f>('Data Entry'!$F$15*$F15)-(G$10/(('Data Entry'!$C$9/100)*2200))*($E15)</f>
        <v>0</v>
      </c>
      <c r="H15" s="137">
        <f>('Data Entry'!$F$15*$F15)-(H$10/(('Data Entry'!$C$9/100)*2200))*($E15)</f>
        <v>0</v>
      </c>
      <c r="I15" s="137">
        <f>('Data Entry'!$F$15*$F15)-(I$10/(('Data Entry'!$C$9/100)*2200))*($E15)</f>
        <v>0</v>
      </c>
      <c r="J15" s="137">
        <f>('Data Entry'!$F$15*$F15)-(J$10/(('Data Entry'!$C$9/100)*2200))*($E15)</f>
        <v>0</v>
      </c>
      <c r="K15" s="137">
        <f>('Data Entry'!$F$15*$F15)-(K$10/(('Data Entry'!$C$9/100)*2200))*($E15)</f>
        <v>0</v>
      </c>
      <c r="L15" s="137">
        <f>('Data Entry'!$F$15*$F15)-(L$10/(('Data Entry'!$C$9/100)*2200))*($E15)</f>
        <v>0</v>
      </c>
      <c r="M15" s="138">
        <f>('Data Entry'!$F$15*$F15)-(M$10/(('Data Entry'!$C$9/100)*2200))*($E15)</f>
        <v>0</v>
      </c>
    </row>
    <row r="16" spans="1:13" ht="13.5">
      <c r="A16" s="16"/>
      <c r="B16" s="54"/>
      <c r="D16" s="18"/>
      <c r="E16" s="195">
        <f>IF((E20-4*$C$10)&lt;0,0,(E20-4*$C$10))</f>
        <v>10</v>
      </c>
      <c r="F16" s="128">
        <f t="shared" si="0"/>
        <v>4.468999999999998</v>
      </c>
      <c r="G16" s="137">
        <f>('Data Entry'!$F$15*$F16)-(G$10/(('Data Entry'!$C$9/100)*2200))*($E16)</f>
        <v>6.725859683794461</v>
      </c>
      <c r="H16" s="137">
        <f>('Data Entry'!$F$15*$F16)-(H$10/(('Data Entry'!$C$9/100)*2200))*($E16)</f>
        <v>6.231788537549401</v>
      </c>
      <c r="I16" s="137">
        <f>('Data Entry'!$F$15*$F16)-(I$10/(('Data Entry'!$C$9/100)*2200))*($E16)</f>
        <v>5.737717391304342</v>
      </c>
      <c r="J16" s="137">
        <f>('Data Entry'!$F$15*$F16)-(J$10/(('Data Entry'!$C$9/100)*2200))*($E16)</f>
        <v>5.243646245059282</v>
      </c>
      <c r="K16" s="137">
        <f>('Data Entry'!$F$15*$F16)-(K$10/(('Data Entry'!$C$9/100)*2200))*($E16)</f>
        <v>4.749575098814224</v>
      </c>
      <c r="L16" s="137">
        <f>('Data Entry'!$F$15*$F16)-(L$10/(('Data Entry'!$C$9/100)*2200))*($E16)</f>
        <v>4.255503952569164</v>
      </c>
      <c r="M16" s="138">
        <f>('Data Entry'!$F$15*$F16)-(M$10/(('Data Entry'!$C$9/100)*2200))*($E16)</f>
        <v>3.7614328063241045</v>
      </c>
    </row>
    <row r="17" spans="1:13" ht="13.5">
      <c r="A17" s="16"/>
      <c r="B17" s="54"/>
      <c r="D17" s="18"/>
      <c r="E17" s="195">
        <f>IF((E21-4*$C$10)&lt;0,0,(E21-4*$C$10))</f>
        <v>20</v>
      </c>
      <c r="F17" s="128">
        <f t="shared" si="0"/>
        <v>8.297999999999998</v>
      </c>
      <c r="G17" s="137">
        <f>('Data Entry'!$F$15*$F17)-(G$10/(('Data Entry'!$C$9/100)*2200))*($E17)</f>
        <v>11.851719367588931</v>
      </c>
      <c r="H17" s="137">
        <f>('Data Entry'!$F$15*$F17)-(H$10/(('Data Entry'!$C$9/100)*2200))*($E17)</f>
        <v>10.863577075098812</v>
      </c>
      <c r="I17" s="137">
        <f>('Data Entry'!$F$15*$F17)-(I$10/(('Data Entry'!$C$9/100)*2200))*($E17)</f>
        <v>9.875434782608693</v>
      </c>
      <c r="J17" s="137">
        <f>('Data Entry'!$F$15*$F17)-(J$10/(('Data Entry'!$C$9/100)*2200))*($E17)</f>
        <v>8.887292490118574</v>
      </c>
      <c r="K17" s="137">
        <f>('Data Entry'!$F$15*$F17)-(K$10/(('Data Entry'!$C$9/100)*2200))*($E17)</f>
        <v>7.899150197628456</v>
      </c>
      <c r="L17" s="137">
        <f>('Data Entry'!$F$15*$F17)-(L$10/(('Data Entry'!$C$9/100)*2200))*($E17)</f>
        <v>6.911007905138337</v>
      </c>
      <c r="M17" s="138">
        <f>('Data Entry'!$F$15*$F17)-(M$10/(('Data Entry'!$C$9/100)*2200))*($E17)</f>
        <v>5.922865612648218</v>
      </c>
    </row>
    <row r="18" spans="1:13" ht="14.25" thickBot="1">
      <c r="A18" s="16"/>
      <c r="B18" s="17"/>
      <c r="C18" s="18"/>
      <c r="D18" s="18"/>
      <c r="E18" s="198">
        <f>IF((E22-4*$C$10)&lt;0,0,(E22-4*$C$10))</f>
        <v>30</v>
      </c>
      <c r="F18" s="128">
        <f t="shared" si="0"/>
        <v>11.486999999999998</v>
      </c>
      <c r="G18" s="137">
        <f>('Data Entry'!$F$15*$F18)-(G$10/(('Data Entry'!$C$9/100)*2200))*($E18)</f>
        <v>15.377579051383394</v>
      </c>
      <c r="H18" s="137">
        <f>('Data Entry'!$F$15*$F18)-(H$10/(('Data Entry'!$C$9/100)*2200))*($E18)</f>
        <v>13.895365612648217</v>
      </c>
      <c r="I18" s="137">
        <f>('Data Entry'!$F$15*$F18)-(I$10/(('Data Entry'!$C$9/100)*2200))*($E18)</f>
        <v>12.413152173913037</v>
      </c>
      <c r="J18" s="137">
        <f>('Data Entry'!$F$15*$F18)-(J$10/(('Data Entry'!$C$9/100)*2200))*($E18)</f>
        <v>10.930938735177858</v>
      </c>
      <c r="K18" s="137">
        <f>('Data Entry'!$F$15*$F18)-(K$10/(('Data Entry'!$C$9/100)*2200))*($E18)</f>
        <v>9.448725296442682</v>
      </c>
      <c r="L18" s="137">
        <f>('Data Entry'!$F$15*$F18)-(L$10/(('Data Entry'!$C$9/100)*2200))*($E18)</f>
        <v>7.966511857707502</v>
      </c>
      <c r="M18" s="138">
        <f>('Data Entry'!$F$15*$F18)-(M$10/(('Data Entry'!$C$9/100)*2200))*($E18)</f>
        <v>6.484298418972326</v>
      </c>
    </row>
    <row r="19" spans="1:13" ht="14.25" thickBot="1">
      <c r="A19" s="16"/>
      <c r="B19" s="54"/>
      <c r="C19" s="48"/>
      <c r="D19" s="49" t="s">
        <v>13</v>
      </c>
      <c r="E19" s="50">
        <f>'Data Entry'!H10</f>
        <v>40</v>
      </c>
      <c r="F19" s="197">
        <f t="shared" si="0"/>
        <v>14.035999999999998</v>
      </c>
      <c r="G19" s="137">
        <f>('Data Entry'!$F$15*$F19)-(G$10/(('Data Entry'!$C$9/100)*2200))*($E19)</f>
        <v>17.303438735177863</v>
      </c>
      <c r="H19" s="137">
        <f>('Data Entry'!$F$15*$F19)-(H$10/(('Data Entry'!$C$9/100)*2200))*($E19)</f>
        <v>15.327154150197625</v>
      </c>
      <c r="I19" s="137">
        <f>('Data Entry'!$F$15*$F19)-(I$10/(('Data Entry'!$C$9/100)*2200))*($E19)</f>
        <v>13.350869565217387</v>
      </c>
      <c r="J19" s="137">
        <f>('Data Entry'!$F$15*$F19)-(J$10/(('Data Entry'!$C$9/100)*2200))*($E19)</f>
        <v>11.374584980237149</v>
      </c>
      <c r="K19" s="137">
        <f>('Data Entry'!$F$15*$F19)-(K$10/(('Data Entry'!$C$9/100)*2200))*($E19)</f>
        <v>9.398300395256914</v>
      </c>
      <c r="L19" s="137">
        <f>('Data Entry'!$F$15*$F19)-(L$10/(('Data Entry'!$C$9/100)*2200))*($E19)</f>
        <v>7.422015810276676</v>
      </c>
      <c r="M19" s="138">
        <f>('Data Entry'!$F$15*$F19)-(M$10/(('Data Entry'!$C$9/100)*2200))*($E19)</f>
        <v>5.445731225296438</v>
      </c>
    </row>
    <row r="20" spans="1:13" ht="13.5">
      <c r="A20" s="16"/>
      <c r="B20" s="17"/>
      <c r="C20" s="18"/>
      <c r="D20" s="18"/>
      <c r="E20" s="199">
        <f>E19+C10</f>
        <v>50</v>
      </c>
      <c r="F20" s="128">
        <f t="shared" si="0"/>
        <v>15.945000000000004</v>
      </c>
      <c r="G20" s="137">
        <f>('Data Entry'!$F$15*$F20)-(G$10/(('Data Entry'!$C$9/100)*2200))*($E20)</f>
        <v>17.629298418972343</v>
      </c>
      <c r="H20" s="137">
        <f>('Data Entry'!$F$15*$F20)-(H$10/(('Data Entry'!$C$9/100)*2200))*($E20)</f>
        <v>15.158942687747047</v>
      </c>
      <c r="I20" s="137">
        <f>('Data Entry'!$F$15*$F20)-(I$10/(('Data Entry'!$C$9/100)*2200))*($E20)</f>
        <v>12.688586956521753</v>
      </c>
      <c r="J20" s="137">
        <f>('Data Entry'!$F$15*$F20)-(J$10/(('Data Entry'!$C$9/100)*2200))*($E20)</f>
        <v>10.218231225296453</v>
      </c>
      <c r="K20" s="137">
        <f>('Data Entry'!$F$15*$F20)-(K$10/(('Data Entry'!$C$9/100)*2200))*($E20)</f>
        <v>7.74787549407116</v>
      </c>
      <c r="L20" s="137">
        <f>('Data Entry'!$F$15*$F20)-(L$10/(('Data Entry'!$C$9/100)*2200))*($E20)</f>
        <v>5.277519762845863</v>
      </c>
      <c r="M20" s="138">
        <f>('Data Entry'!$F$15*$F20)-(M$10/(('Data Entry'!$C$9/100)*2200))*($E20)</f>
        <v>2.807164031620559</v>
      </c>
    </row>
    <row r="21" spans="1:13" ht="13.5">
      <c r="A21" s="16"/>
      <c r="B21" s="17"/>
      <c r="C21" s="18"/>
      <c r="D21" s="18"/>
      <c r="E21" s="195">
        <f>E19+2*C10</f>
        <v>60</v>
      </c>
      <c r="F21" s="128">
        <f t="shared" si="0"/>
        <v>17.214000000000002</v>
      </c>
      <c r="G21" s="137">
        <f>('Data Entry'!$F$15*$F21)-(G$10/(('Data Entry'!$C$9/100)*2200))*($E21)</f>
        <v>16.355158102766804</v>
      </c>
      <c r="H21" s="137">
        <f>('Data Entry'!$F$15*$F21)-(H$10/(('Data Entry'!$C$9/100)*2200))*($E21)</f>
        <v>13.390731225296449</v>
      </c>
      <c r="I21" s="137">
        <f>('Data Entry'!$F$15*$F21)-(I$10/(('Data Entry'!$C$9/100)*2200))*($E21)</f>
        <v>10.42630434782609</v>
      </c>
      <c r="J21" s="137">
        <f>('Data Entry'!$F$15*$F21)-(J$10/(('Data Entry'!$C$9/100)*2200))*($E21)</f>
        <v>7.461877470355731</v>
      </c>
      <c r="K21" s="137">
        <f>('Data Entry'!$F$15*$F21)-(K$10/(('Data Entry'!$C$9/100)*2200))*($E21)</f>
        <v>4.497450592885379</v>
      </c>
      <c r="L21" s="137">
        <f>('Data Entry'!$F$15*$F21)-(L$10/(('Data Entry'!$C$9/100)*2200))*($E21)</f>
        <v>1.5330237154150197</v>
      </c>
      <c r="M21" s="138">
        <f>('Data Entry'!$F$15*$F21)-(M$10/(('Data Entry'!$C$9/100)*2200))*($E21)</f>
        <v>-1.4314031620553322</v>
      </c>
    </row>
    <row r="22" spans="1:13" ht="13.5">
      <c r="A22" s="16"/>
      <c r="B22" s="17"/>
      <c r="C22" s="18"/>
      <c r="D22" s="18"/>
      <c r="E22" s="195">
        <f>E19+3*C10</f>
        <v>70</v>
      </c>
      <c r="F22" s="128">
        <f t="shared" si="0"/>
        <v>17.843</v>
      </c>
      <c r="G22" s="137">
        <f>('Data Entry'!$F$15*$F22)-(G$10/(('Data Entry'!$C$9/100)*2200))*($E22)</f>
        <v>13.481017786561267</v>
      </c>
      <c r="H22" s="137">
        <f>('Data Entry'!$F$15*$F22)-(H$10/(('Data Entry'!$C$9/100)*2200))*($E22)</f>
        <v>10.022519762845853</v>
      </c>
      <c r="I22" s="137">
        <f>('Data Entry'!$F$15*$F22)-(I$10/(('Data Entry'!$C$9/100)*2200))*($E22)</f>
        <v>6.564021739130439</v>
      </c>
      <c r="J22" s="137">
        <f>('Data Entry'!$F$15*$F22)-(J$10/(('Data Entry'!$C$9/100)*2200))*($E22)</f>
        <v>3.1055237154150177</v>
      </c>
      <c r="K22" s="137">
        <f>('Data Entry'!$F$15*$F22)-(K$10/(('Data Entry'!$C$9/100)*2200))*($E22)</f>
        <v>-0.35297430830038934</v>
      </c>
      <c r="L22" s="137">
        <f>('Data Entry'!$F$15*$F22)-(L$10/(('Data Entry'!$C$9/100)*2200))*($E22)</f>
        <v>-3.8114723320158106</v>
      </c>
      <c r="M22" s="138">
        <f>('Data Entry'!$F$15*$F22)-(M$10/(('Data Entry'!$C$9/100)*2200))*($E22)</f>
        <v>-7.269970355731225</v>
      </c>
    </row>
    <row r="23" spans="1:13" ht="13.5">
      <c r="A23" s="16"/>
      <c r="B23" s="17"/>
      <c r="C23" s="18"/>
      <c r="D23" s="18"/>
      <c r="E23" s="195">
        <f>E19+4*C10</f>
        <v>80</v>
      </c>
      <c r="F23" s="128">
        <f t="shared" si="0"/>
        <v>17.832000000000004</v>
      </c>
      <c r="G23" s="137">
        <f>('Data Entry'!$F$15*$F23)-(G$10/(('Data Entry'!$C$9/100)*2200))*($E23)</f>
        <v>9.006877470355747</v>
      </c>
      <c r="H23" s="137">
        <f>('Data Entry'!$F$15*$F23)-(H$10/(('Data Entry'!$C$9/100)*2200))*($E23)</f>
        <v>5.05430830039527</v>
      </c>
      <c r="I23" s="137">
        <f>('Data Entry'!$F$15*$F23)-(I$10/(('Data Entry'!$C$9/100)*2200))*($E23)</f>
        <v>1.1017391304347939</v>
      </c>
      <c r="J23" s="137">
        <f>('Data Entry'!$F$15*$F23)-(J$10/(('Data Entry'!$C$9/100)*2200))*($E23)</f>
        <v>-2.8508300395256825</v>
      </c>
      <c r="K23" s="137">
        <f>('Data Entry'!$F$15*$F23)-(K$10/(('Data Entry'!$C$9/100)*2200))*($E23)</f>
        <v>-6.803399209486152</v>
      </c>
      <c r="L23" s="137">
        <f>('Data Entry'!$F$15*$F23)-(L$10/(('Data Entry'!$C$9/100)*2200))*($E23)</f>
        <v>-10.755968379446628</v>
      </c>
      <c r="M23" s="138">
        <f>('Data Entry'!$F$15*$F23)-(M$10/(('Data Entry'!$C$9/100)*2200))*($E23)</f>
        <v>-14.708537549407104</v>
      </c>
    </row>
    <row r="24" spans="1:13" ht="13.5" customHeight="1">
      <c r="A24" s="16"/>
      <c r="B24" s="17"/>
      <c r="C24" s="18"/>
      <c r="D24" s="18"/>
      <c r="E24" s="266" t="s">
        <v>55</v>
      </c>
      <c r="F24" s="267"/>
      <c r="G24" s="277"/>
      <c r="H24" s="277"/>
      <c r="I24" s="277"/>
      <c r="J24" s="277"/>
      <c r="K24" s="277"/>
      <c r="L24" s="277"/>
      <c r="M24" s="278"/>
    </row>
    <row r="25" spans="1:13" ht="9.75" customHeight="1">
      <c r="A25" s="16"/>
      <c r="B25" s="17"/>
      <c r="C25" s="18"/>
      <c r="D25" s="18"/>
      <c r="E25" s="266" t="s">
        <v>16</v>
      </c>
      <c r="F25" s="267"/>
      <c r="G25" s="267"/>
      <c r="H25" s="267"/>
      <c r="I25" s="267"/>
      <c r="J25" s="267"/>
      <c r="K25" s="267"/>
      <c r="L25" s="267"/>
      <c r="M25" s="268"/>
    </row>
    <row r="26" spans="1:13" ht="9.75" customHeight="1">
      <c r="A26" s="16"/>
      <c r="B26" s="17"/>
      <c r="C26" s="18"/>
      <c r="D26" s="18"/>
      <c r="E26" s="266" t="s">
        <v>24</v>
      </c>
      <c r="F26" s="267"/>
      <c r="G26" s="267"/>
      <c r="H26" s="267"/>
      <c r="I26" s="267"/>
      <c r="J26" s="267"/>
      <c r="K26" s="267"/>
      <c r="L26" s="267"/>
      <c r="M26" s="268"/>
    </row>
    <row r="27" spans="1:19" ht="11.25" customHeight="1">
      <c r="A27" s="16"/>
      <c r="B27" s="17"/>
      <c r="C27" s="18"/>
      <c r="D27" s="18"/>
      <c r="E27" s="245" t="s">
        <v>91</v>
      </c>
      <c r="F27" s="279"/>
      <c r="G27" s="279"/>
      <c r="H27" s="279"/>
      <c r="I27" s="279"/>
      <c r="J27" s="279"/>
      <c r="K27" s="279"/>
      <c r="L27" s="279"/>
      <c r="M27" s="280"/>
      <c r="N27" s="132"/>
      <c r="O27"/>
      <c r="P27"/>
      <c r="Q27"/>
      <c r="R27"/>
      <c r="S27"/>
    </row>
    <row r="28" spans="1:13" ht="12" customHeight="1" thickBot="1">
      <c r="A28" s="16"/>
      <c r="B28" s="17"/>
      <c r="C28" s="18"/>
      <c r="D28" s="18"/>
      <c r="E28" s="269" t="s">
        <v>38</v>
      </c>
      <c r="F28" s="271"/>
      <c r="G28" s="271"/>
      <c r="H28" s="271"/>
      <c r="I28" s="271"/>
      <c r="J28" s="272"/>
      <c r="K28" s="272"/>
      <c r="L28" s="272"/>
      <c r="M28" s="273"/>
    </row>
    <row r="29" spans="1:13" ht="10.5" customHeight="1">
      <c r="A29" s="16"/>
      <c r="B29" s="17"/>
      <c r="C29" s="18"/>
      <c r="D29" s="18"/>
      <c r="E29" s="53"/>
      <c r="F29" s="53"/>
      <c r="G29" s="53"/>
      <c r="H29" s="53"/>
      <c r="I29" s="53"/>
      <c r="J29" s="12"/>
      <c r="K29" s="12"/>
      <c r="L29" s="12"/>
      <c r="M29" s="15"/>
    </row>
    <row r="30" spans="2:13" ht="10.5" customHeight="1" thickBot="1">
      <c r="B30" s="224"/>
      <c r="C30" s="225"/>
      <c r="D30" s="225"/>
      <c r="E30" s="225"/>
      <c r="F30" s="225"/>
      <c r="G30" s="225"/>
      <c r="H30" s="225"/>
      <c r="I30" s="225"/>
      <c r="J30" s="55"/>
      <c r="K30" s="55"/>
      <c r="L30" s="55"/>
      <c r="M30" s="56"/>
    </row>
  </sheetData>
  <sheetProtection/>
  <mergeCells count="13">
    <mergeCell ref="E24:M24"/>
    <mergeCell ref="E27:M27"/>
    <mergeCell ref="E28:M28"/>
    <mergeCell ref="B30:I30"/>
    <mergeCell ref="E25:M25"/>
    <mergeCell ref="E26:M26"/>
    <mergeCell ref="H8:L8"/>
    <mergeCell ref="G12:M12"/>
    <mergeCell ref="G13:M13"/>
    <mergeCell ref="B2:M2"/>
    <mergeCell ref="B3:M3"/>
    <mergeCell ref="B5:D5"/>
    <mergeCell ref="B7:C7"/>
  </mergeCells>
  <conditionalFormatting sqref="M15:M23">
    <cfRule type="cellIs" priority="1" dxfId="2" operator="equal" stopIfTrue="1">
      <formula>MAX($M$15:$M$23)</formula>
    </cfRule>
    <cfRule type="cellIs" priority="2" dxfId="0" operator="between" stopIfTrue="1">
      <formula>MAX($M$15:$M$23)</formula>
      <formula>MAX($M$15:$M$23)-1</formula>
    </cfRule>
    <cfRule type="cellIs" priority="3" dxfId="0" operator="between" stopIfTrue="1">
      <formula>MAX($M$15:$M$23)</formula>
      <formula>MAX($M$15:$M$23)+1</formula>
    </cfRule>
  </conditionalFormatting>
  <conditionalFormatting sqref="G15:G23">
    <cfRule type="cellIs" priority="4" dxfId="2" operator="equal" stopIfTrue="1">
      <formula>MAX($G$15:$G$23)</formula>
    </cfRule>
    <cfRule type="cellIs" priority="5" dxfId="0" operator="between" stopIfTrue="1">
      <formula>MAX($G$15:$G$23)</formula>
      <formula>MAX($G$15:$G$23)-1</formula>
    </cfRule>
    <cfRule type="cellIs" priority="6" dxfId="0" operator="between" stopIfTrue="1">
      <formula>MAX($G$15:$G$23)</formula>
      <formula>MAX($G$15:$G$23)+1</formula>
    </cfRule>
  </conditionalFormatting>
  <conditionalFormatting sqref="I15:I23">
    <cfRule type="cellIs" priority="7" dxfId="2" operator="equal" stopIfTrue="1">
      <formula>MAX($I$15:$I$23)</formula>
    </cfRule>
    <cfRule type="cellIs" priority="8" dxfId="0" operator="between" stopIfTrue="1">
      <formula>MAX($I$15:$I$23)</formula>
      <formula>MAX($I$15:$I$23)-1</formula>
    </cfRule>
    <cfRule type="cellIs" priority="9" dxfId="0" operator="between" stopIfTrue="1">
      <formula>MAX($I$15:$I$23)</formula>
      <formula>MAX($I$15:$I$23)+1</formula>
    </cfRule>
  </conditionalFormatting>
  <conditionalFormatting sqref="J15:J23">
    <cfRule type="cellIs" priority="10" dxfId="2" operator="equal" stopIfTrue="1">
      <formula>MAX($J$15:$J$23)</formula>
    </cfRule>
    <cfRule type="cellIs" priority="11" dxfId="0" operator="between" stopIfTrue="1">
      <formula>MAX($J$15:$J$23)</formula>
      <formula>MAX($J$15:$J$23)-1</formula>
    </cfRule>
    <cfRule type="cellIs" priority="12" dxfId="0" operator="between" stopIfTrue="1">
      <formula>MAX($J$15:$J$23)</formula>
      <formula>MAX($J$15:$J$23)+1</formula>
    </cfRule>
  </conditionalFormatting>
  <conditionalFormatting sqref="K15:K23">
    <cfRule type="cellIs" priority="13" dxfId="2" operator="equal" stopIfTrue="1">
      <formula>MAX($K$15:$K$23)</formula>
    </cfRule>
    <cfRule type="cellIs" priority="14" dxfId="0" operator="between" stopIfTrue="1">
      <formula>MAX($K$15:$K$23)</formula>
      <formula>MAX($K$15:$K$23)-1</formula>
    </cfRule>
    <cfRule type="cellIs" priority="15" dxfId="0" operator="between" stopIfTrue="1">
      <formula>MAX($K$15:$K$23)</formula>
      <formula>MAX($K$15:$K$23)+1</formula>
    </cfRule>
  </conditionalFormatting>
  <conditionalFormatting sqref="L15:L23">
    <cfRule type="cellIs" priority="16" dxfId="2" operator="equal" stopIfTrue="1">
      <formula>MAX($L$15:$L$23)</formula>
    </cfRule>
    <cfRule type="cellIs" priority="17" dxfId="0" operator="between" stopIfTrue="1">
      <formula>MAX($L$15:$L$23)</formula>
      <formula>MAX($L$15:$L$23)-1</formula>
    </cfRule>
    <cfRule type="cellIs" priority="18" dxfId="0" operator="between" stopIfTrue="1">
      <formula>MAX($L$15:$L$23)</formula>
      <formula>MAX($L$15:$L$23)+1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MAX($H$15:$HG$23)+1</formula>
    </cfRule>
  </conditionalFormatting>
  <hyperlinks>
    <hyperlink ref="N2" location="'Barley (Arid) Crop'!A1" display="Return to Barley (Arid) as variable"/>
    <hyperlink ref="N3" location="'Barley (Arid) MR'!A1" display="Go to Marginal Return Chart"/>
    <hyperlink ref="N5" location="'Data Entry'!A1" display="Return to Data Entry"/>
  </hyperlink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S30"/>
  <sheetViews>
    <sheetView showGridLines="0" zoomScalePageLayoutView="0" workbookViewId="0" topLeftCell="A1">
      <selection activeCell="N5" sqref="N5"/>
    </sheetView>
  </sheetViews>
  <sheetFormatPr defaultColWidth="9.140625" defaultRowHeight="12.75"/>
  <cols>
    <col min="1" max="1" width="1.57421875" style="10" customWidth="1"/>
    <col min="2" max="2" width="16.57421875" style="10" customWidth="1"/>
    <col min="3" max="5" width="9.140625" style="10" customWidth="1"/>
    <col min="6" max="6" width="13.57421875" style="10" customWidth="1"/>
    <col min="7" max="13" width="9.140625" style="10" customWidth="1"/>
    <col min="14" max="14" width="27.0039062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103</v>
      </c>
    </row>
    <row r="3" spans="1:14" ht="21">
      <c r="A3" s="11"/>
      <c r="B3" s="256" t="s">
        <v>65</v>
      </c>
      <c r="C3" s="257"/>
      <c r="D3" s="257"/>
      <c r="E3" s="257"/>
      <c r="F3" s="257"/>
      <c r="G3" s="257"/>
      <c r="H3" s="257"/>
      <c r="I3" s="257"/>
      <c r="J3" s="257"/>
      <c r="K3" s="257"/>
      <c r="L3" s="257"/>
      <c r="M3" s="258"/>
      <c r="N3" s="163" t="s">
        <v>69</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61</v>
      </c>
      <c r="C7" s="239"/>
      <c r="D7" s="18"/>
      <c r="E7" s="18"/>
      <c r="F7" s="18"/>
      <c r="G7" s="18"/>
      <c r="H7" s="19"/>
      <c r="I7" s="18"/>
      <c r="J7" s="19"/>
      <c r="K7" s="12"/>
      <c r="L7" s="12"/>
      <c r="M7" s="15"/>
    </row>
    <row r="8" spans="1:13" ht="15" customHeight="1">
      <c r="A8" s="16"/>
      <c r="B8" s="87" t="s">
        <v>58</v>
      </c>
      <c r="C8" s="21" t="s">
        <v>64</v>
      </c>
      <c r="D8" s="18"/>
      <c r="E8" s="22"/>
      <c r="F8" s="23"/>
      <c r="G8" s="23"/>
      <c r="H8" s="230" t="s">
        <v>63</v>
      </c>
      <c r="I8" s="231"/>
      <c r="J8" s="231"/>
      <c r="K8" s="231"/>
      <c r="L8" s="231"/>
      <c r="M8" s="24"/>
    </row>
    <row r="9" spans="1:13" ht="13.5">
      <c r="A9" s="16"/>
      <c r="B9" s="20" t="s">
        <v>60</v>
      </c>
      <c r="C9" s="83">
        <f>'Data Entry'!F16</f>
        <v>9</v>
      </c>
      <c r="D9" s="18"/>
      <c r="E9" s="17"/>
      <c r="F9" s="18"/>
      <c r="G9" s="18"/>
      <c r="H9" s="19"/>
      <c r="I9" s="18"/>
      <c r="J9" s="19"/>
      <c r="K9" s="12"/>
      <c r="L9" s="12"/>
      <c r="M9" s="15"/>
    </row>
    <row r="10" spans="1:13" ht="13.5">
      <c r="A10" s="16"/>
      <c r="B10" s="30" t="s">
        <v>20</v>
      </c>
      <c r="C10" s="106">
        <f>'Data Entry'!C11</f>
        <v>10</v>
      </c>
      <c r="D10" s="18"/>
      <c r="E10" s="17"/>
      <c r="F10" s="18"/>
      <c r="G10" s="108">
        <f>H10-$C$12</f>
        <v>450</v>
      </c>
      <c r="H10" s="108">
        <f>I10-$C$12</f>
        <v>500</v>
      </c>
      <c r="I10" s="108">
        <f>J10-$C$12</f>
        <v>550</v>
      </c>
      <c r="J10" s="109">
        <f>'Data Entry'!C8</f>
        <v>600</v>
      </c>
      <c r="K10" s="108">
        <f>J10+$C$12</f>
        <v>650</v>
      </c>
      <c r="L10" s="108">
        <f>K10+$C$12</f>
        <v>700</v>
      </c>
      <c r="M10" s="110">
        <f>L10+$C$12</f>
        <v>750</v>
      </c>
    </row>
    <row r="11" spans="1:13" ht="13.5">
      <c r="A11" s="16"/>
      <c r="B11" s="33" t="s">
        <v>113</v>
      </c>
      <c r="C11" s="46"/>
      <c r="D11" s="18"/>
      <c r="E11" s="17"/>
      <c r="F11" s="29" t="s">
        <v>6</v>
      </c>
      <c r="G11" s="18"/>
      <c r="H11" s="18"/>
      <c r="I11" s="18"/>
      <c r="J11" s="12"/>
      <c r="K11" s="12"/>
      <c r="L11" s="12"/>
      <c r="M11" s="15"/>
    </row>
    <row r="12" spans="1:13" ht="13.5">
      <c r="A12" s="16"/>
      <c r="B12" s="37" t="s">
        <v>56</v>
      </c>
      <c r="C12" s="61">
        <f>'Data Entry'!C17</f>
        <v>50</v>
      </c>
      <c r="D12" s="18"/>
      <c r="E12" s="32"/>
      <c r="F12" s="29" t="s">
        <v>7</v>
      </c>
      <c r="G12" s="264" t="s">
        <v>8</v>
      </c>
      <c r="H12" s="264"/>
      <c r="I12" s="264"/>
      <c r="J12" s="264"/>
      <c r="K12" s="264"/>
      <c r="L12" s="264"/>
      <c r="M12" s="265"/>
    </row>
    <row r="13" spans="1:13" ht="14.25" thickBot="1">
      <c r="A13" s="16"/>
      <c r="B13" s="43" t="s">
        <v>28</v>
      </c>
      <c r="C13" s="46"/>
      <c r="D13" s="18"/>
      <c r="E13" s="35" t="s">
        <v>9</v>
      </c>
      <c r="F13" s="36" t="s">
        <v>10</v>
      </c>
      <c r="G13" s="228" t="s">
        <v>15</v>
      </c>
      <c r="H13" s="228"/>
      <c r="I13" s="228"/>
      <c r="J13" s="228"/>
      <c r="K13" s="228"/>
      <c r="L13" s="228"/>
      <c r="M13" s="229"/>
    </row>
    <row r="14" spans="1:13" ht="13.5">
      <c r="A14" s="16"/>
      <c r="B14" s="113" t="s">
        <v>29</v>
      </c>
      <c r="C14" s="107">
        <f>'Data Entry'!C15</f>
        <v>30</v>
      </c>
      <c r="D14" s="18"/>
      <c r="E14" s="39" t="s">
        <v>11</v>
      </c>
      <c r="F14" s="40" t="s">
        <v>12</v>
      </c>
      <c r="G14" s="111">
        <f>'Data Entry'!$F$16/(G$10/(('Data Entry'!$C$9/100)*2200))</f>
        <v>20.240000000000002</v>
      </c>
      <c r="H14" s="111">
        <f>'Data Entry'!$F$16/(H$10/(('Data Entry'!$C$9/100)*2200))</f>
        <v>18.216</v>
      </c>
      <c r="I14" s="111">
        <f>'Data Entry'!$F$16/(I$10/(('Data Entry'!$C$9/100)*2200))</f>
        <v>16.560000000000002</v>
      </c>
      <c r="J14" s="111">
        <f>'Data Entry'!$F$16/(J$10/(('Data Entry'!$C$9/100)*2200))</f>
        <v>15.18</v>
      </c>
      <c r="K14" s="111">
        <f>'Data Entry'!$F$16/(K$10/(('Data Entry'!$C$9/100)*2200))</f>
        <v>14.012307692307694</v>
      </c>
      <c r="L14" s="111">
        <f>'Data Entry'!$F$16/(L$10/(('Data Entry'!$C$9/100)*2200))</f>
        <v>13.01142857142857</v>
      </c>
      <c r="M14" s="112">
        <f>'Data Entry'!$F$16/(M$10/(('Data Entry'!$C$9/100)*2200))</f>
        <v>12.143999999999998</v>
      </c>
    </row>
    <row r="15" spans="1:13" ht="13.5">
      <c r="A15" s="16"/>
      <c r="B15" s="43" t="s">
        <v>30</v>
      </c>
      <c r="C15" s="46"/>
      <c r="D15" s="18"/>
      <c r="E15" s="195">
        <f>IF((E19-4*$C$10)&lt;0,0,(E19-4*$C$10))</f>
        <v>30</v>
      </c>
      <c r="F15" s="128">
        <f>IF(((-0.0009*(E15+$C$14)^2+0.2797*(E15+$C$14))-(-0.0009*($C$14)^2+0.2797*($C$14)))&lt;0,0,(-0.0009*(E15+$C$14)^2+0.2797*(E15+$C$14))-(-0.0009*($C$14)^2+0.2797*($C$14)))</f>
        <v>5.960999999999999</v>
      </c>
      <c r="G15" s="137">
        <f>('Data Entry'!$F$16*$F15)-(G$10/(('Data Entry'!$C$9/100)*2200))*($E15)</f>
        <v>40.30907905138339</v>
      </c>
      <c r="H15" s="137">
        <f>('Data Entry'!$F$16*$F15)-(H$10/(('Data Entry'!$C$9/100)*2200))*($E15)</f>
        <v>38.82686561264822</v>
      </c>
      <c r="I15" s="137">
        <f>('Data Entry'!$F$16*$F15)-(I$10/(('Data Entry'!$C$9/100)*2200))*($E15)</f>
        <v>37.34465217391303</v>
      </c>
      <c r="J15" s="137">
        <f>('Data Entry'!$F$16*$F15)-(J$10/(('Data Entry'!$C$9/100)*2200))*($E15)</f>
        <v>35.86243873517786</v>
      </c>
      <c r="K15" s="137">
        <f>('Data Entry'!$F$16*$F15)-(K$10/(('Data Entry'!$C$9/100)*2200))*($E15)</f>
        <v>34.38022529644268</v>
      </c>
      <c r="L15" s="137">
        <f>('Data Entry'!$F$16*$F15)-(L$10/(('Data Entry'!$C$9/100)*2200))*($E15)</f>
        <v>32.8980118577075</v>
      </c>
      <c r="M15" s="138">
        <f>('Data Entry'!$F$16*$F15)-(M$10/(('Data Entry'!$C$9/100)*2200))*($E15)</f>
        <v>31.415798418972326</v>
      </c>
    </row>
    <row r="16" spans="1:13" ht="13.5">
      <c r="A16" s="16"/>
      <c r="B16" s="54"/>
      <c r="D16" s="18"/>
      <c r="E16" s="195">
        <f>IF((E20-4*$C$10)&lt;0,0,(E20-4*$C$10))</f>
        <v>40</v>
      </c>
      <c r="F16" s="128">
        <f aca="true" t="shared" si="0" ref="F16:F23">IF(((-0.0009*(E16+$C$14)^2+0.2797*(E16+$C$14))-(-0.0009*($C$14)^2+0.2797*($C$14)))&lt;0,0,(-0.0009*(E16+$C$14)^2+0.2797*(E16+$C$14))-(-0.0009*($C$14)^2+0.2797*($C$14)))</f>
        <v>7.588</v>
      </c>
      <c r="G16" s="137">
        <f>('Data Entry'!$F$16*$F16)-(G$10/(('Data Entry'!$C$9/100)*2200))*($E16)</f>
        <v>50.50543873517787</v>
      </c>
      <c r="H16" s="137">
        <f>('Data Entry'!$F$16*$F16)-(H$10/(('Data Entry'!$C$9/100)*2200))*($E16)</f>
        <v>48.52915415019763</v>
      </c>
      <c r="I16" s="137">
        <f>('Data Entry'!$F$16*$F16)-(I$10/(('Data Entry'!$C$9/100)*2200))*($E16)</f>
        <v>46.55286956521739</v>
      </c>
      <c r="J16" s="137">
        <f>('Data Entry'!$F$16*$F16)-(J$10/(('Data Entry'!$C$9/100)*2200))*($E16)</f>
        <v>44.57658498023716</v>
      </c>
      <c r="K16" s="137">
        <f>('Data Entry'!$F$16*$F16)-(K$10/(('Data Entry'!$C$9/100)*2200))*($E16)</f>
        <v>42.60030039525692</v>
      </c>
      <c r="L16" s="137">
        <f>('Data Entry'!$F$16*$F16)-(L$10/(('Data Entry'!$C$9/100)*2200))*($E16)</f>
        <v>40.62401581027668</v>
      </c>
      <c r="M16" s="138">
        <f>('Data Entry'!$F$16*$F16)-(M$10/(('Data Entry'!$C$9/100)*2200))*($E16)</f>
        <v>38.64773122529644</v>
      </c>
    </row>
    <row r="17" spans="1:13" ht="13.5">
      <c r="A17" s="16"/>
      <c r="B17" s="54"/>
      <c r="D17" s="18"/>
      <c r="E17" s="195">
        <f>IF((E21-4*$C$10)&lt;0,0,(E21-4*$C$10))</f>
        <v>50</v>
      </c>
      <c r="F17" s="128">
        <f t="shared" si="0"/>
        <v>9.035</v>
      </c>
      <c r="G17" s="137">
        <f>('Data Entry'!$F$16*$F17)-(G$10/(('Data Entry'!$C$9/100)*2200))*($E17)</f>
        <v>59.081798418972326</v>
      </c>
      <c r="H17" s="137">
        <f>('Data Entry'!$F$16*$F17)-(H$10/(('Data Entry'!$C$9/100)*2200))*($E17)</f>
        <v>56.61144268774703</v>
      </c>
      <c r="I17" s="137">
        <f>('Data Entry'!$F$16*$F17)-(I$10/(('Data Entry'!$C$9/100)*2200))*($E17)</f>
        <v>54.14108695652174</v>
      </c>
      <c r="J17" s="137">
        <f>('Data Entry'!$F$16*$F17)-(J$10/(('Data Entry'!$C$9/100)*2200))*($E17)</f>
        <v>51.670731225296436</v>
      </c>
      <c r="K17" s="137">
        <f>('Data Entry'!$F$16*$F17)-(K$10/(('Data Entry'!$C$9/100)*2200))*($E17)</f>
        <v>49.200375494071146</v>
      </c>
      <c r="L17" s="137">
        <f>('Data Entry'!$F$16*$F17)-(L$10/(('Data Entry'!$C$9/100)*2200))*($E17)</f>
        <v>46.73001976284585</v>
      </c>
      <c r="M17" s="138">
        <f>('Data Entry'!$F$16*$F17)-(M$10/(('Data Entry'!$C$9/100)*2200))*($E17)</f>
        <v>44.259664031620545</v>
      </c>
    </row>
    <row r="18" spans="1:13" ht="14.25" thickBot="1">
      <c r="A18" s="16"/>
      <c r="B18" s="17"/>
      <c r="C18" s="18"/>
      <c r="D18" s="18"/>
      <c r="E18" s="198">
        <f>IF((E22-4*$C$10)&lt;0,0,(E22-4*$C$10))</f>
        <v>60</v>
      </c>
      <c r="F18" s="128">
        <f t="shared" si="0"/>
        <v>10.302000000000003</v>
      </c>
      <c r="G18" s="137">
        <f>('Data Entry'!$F$16*$F18)-(G$10/(('Data Entry'!$C$9/100)*2200))*($E18)</f>
        <v>66.03815810276683</v>
      </c>
      <c r="H18" s="137">
        <f>('Data Entry'!$F$16*$F18)-(H$10/(('Data Entry'!$C$9/100)*2200))*($E18)</f>
        <v>63.07373122529648</v>
      </c>
      <c r="I18" s="137">
        <f>('Data Entry'!$F$16*$F18)-(I$10/(('Data Entry'!$C$9/100)*2200))*($E18)</f>
        <v>60.10930434782612</v>
      </c>
      <c r="J18" s="137">
        <f>('Data Entry'!$F$16*$F18)-(J$10/(('Data Entry'!$C$9/100)*2200))*($E18)</f>
        <v>57.14487747035576</v>
      </c>
      <c r="K18" s="137">
        <f>('Data Entry'!$F$16*$F18)-(K$10/(('Data Entry'!$C$9/100)*2200))*($E18)</f>
        <v>54.18045059288541</v>
      </c>
      <c r="L18" s="137">
        <f>('Data Entry'!$F$16*$F18)-(L$10/(('Data Entry'!$C$9/100)*2200))*($E18)</f>
        <v>51.21602371541505</v>
      </c>
      <c r="M18" s="138">
        <f>('Data Entry'!$F$16*$F18)-(M$10/(('Data Entry'!$C$9/100)*2200))*($E18)</f>
        <v>48.251596837944696</v>
      </c>
    </row>
    <row r="19" spans="1:13" ht="14.25" thickBot="1">
      <c r="A19" s="16"/>
      <c r="B19" s="54"/>
      <c r="C19" s="48"/>
      <c r="D19" s="49" t="s">
        <v>13</v>
      </c>
      <c r="E19" s="50">
        <f>'Data Entry'!F11</f>
        <v>70</v>
      </c>
      <c r="F19" s="197">
        <f t="shared" si="0"/>
        <v>11.389</v>
      </c>
      <c r="G19" s="137">
        <f>('Data Entry'!$F$16*$F19)-(G$10/(('Data Entry'!$C$9/100)*2200))*($E19)</f>
        <v>71.37451778656126</v>
      </c>
      <c r="H19" s="137">
        <f>('Data Entry'!$F$16*$F19)-(H$10/(('Data Entry'!$C$9/100)*2200))*($E19)</f>
        <v>67.91601976284585</v>
      </c>
      <c r="I19" s="137">
        <f>('Data Entry'!$F$16*$F19)-(I$10/(('Data Entry'!$C$9/100)*2200))*($E19)</f>
        <v>64.45752173913043</v>
      </c>
      <c r="J19" s="137">
        <f>('Data Entry'!$F$16*$F19)-(J$10/(('Data Entry'!$C$9/100)*2200))*($E19)</f>
        <v>60.99902371541501</v>
      </c>
      <c r="K19" s="137">
        <f>('Data Entry'!$F$16*$F19)-(K$10/(('Data Entry'!$C$9/100)*2200))*($E19)</f>
        <v>57.5405256916996</v>
      </c>
      <c r="L19" s="137">
        <f>('Data Entry'!$F$16*$F19)-(L$10/(('Data Entry'!$C$9/100)*2200))*($E19)</f>
        <v>54.08202766798418</v>
      </c>
      <c r="M19" s="138">
        <f>('Data Entry'!$F$16*$F19)-(M$10/(('Data Entry'!$C$9/100)*2200))*($E19)</f>
        <v>50.623529644268764</v>
      </c>
    </row>
    <row r="20" spans="1:13" ht="13.5">
      <c r="A20" s="16"/>
      <c r="B20" s="17"/>
      <c r="C20" s="18"/>
      <c r="D20" s="18"/>
      <c r="E20" s="199">
        <f>E19+C10</f>
        <v>80</v>
      </c>
      <c r="F20" s="128">
        <f t="shared" si="0"/>
        <v>12.296</v>
      </c>
      <c r="G20" s="137">
        <f>('Data Entry'!$F$16*$F20)-(G$10/(('Data Entry'!$C$9/100)*2200))*($E20)</f>
        <v>75.09087747035572</v>
      </c>
      <c r="H20" s="137">
        <f>('Data Entry'!$F$16*$F20)-(H$10/(('Data Entry'!$C$9/100)*2200))*($E20)</f>
        <v>71.13830830039524</v>
      </c>
      <c r="I20" s="137">
        <f>('Data Entry'!$F$16*$F20)-(I$10/(('Data Entry'!$C$9/100)*2200))*($E20)</f>
        <v>67.18573913043477</v>
      </c>
      <c r="J20" s="137">
        <f>('Data Entry'!$F$16*$F20)-(J$10/(('Data Entry'!$C$9/100)*2200))*($E20)</f>
        <v>63.23316996047429</v>
      </c>
      <c r="K20" s="137">
        <f>('Data Entry'!$F$16*$F20)-(K$10/(('Data Entry'!$C$9/100)*2200))*($E20)</f>
        <v>59.28060079051382</v>
      </c>
      <c r="L20" s="137">
        <f>('Data Entry'!$F$16*$F20)-(L$10/(('Data Entry'!$C$9/100)*2200))*($E20)</f>
        <v>55.32803162055335</v>
      </c>
      <c r="M20" s="138">
        <f>('Data Entry'!$F$16*$F20)-(M$10/(('Data Entry'!$C$9/100)*2200))*($E20)</f>
        <v>51.37546245059287</v>
      </c>
    </row>
    <row r="21" spans="1:13" ht="13.5">
      <c r="A21" s="16"/>
      <c r="B21" s="17"/>
      <c r="C21" s="18"/>
      <c r="D21" s="18"/>
      <c r="E21" s="195">
        <f>E19+2*C10</f>
        <v>90</v>
      </c>
      <c r="F21" s="128">
        <f t="shared" si="0"/>
        <v>13.023</v>
      </c>
      <c r="G21" s="137">
        <f>('Data Entry'!$F$16*$F21)-(G$10/(('Data Entry'!$C$9/100)*2200))*($E21)</f>
        <v>77.18723715415018</v>
      </c>
      <c r="H21" s="137">
        <f>('Data Entry'!$F$16*$F21)-(H$10/(('Data Entry'!$C$9/100)*2200))*($E21)</f>
        <v>72.74059683794465</v>
      </c>
      <c r="I21" s="137">
        <f>('Data Entry'!$F$16*$F21)-(I$10/(('Data Entry'!$C$9/100)*2200))*($E21)</f>
        <v>68.29395652173912</v>
      </c>
      <c r="J21" s="137">
        <f>('Data Entry'!$F$16*$F21)-(J$10/(('Data Entry'!$C$9/100)*2200))*($E21)</f>
        <v>63.84731620553359</v>
      </c>
      <c r="K21" s="137">
        <f>('Data Entry'!$F$16*$F21)-(K$10/(('Data Entry'!$C$9/100)*2200))*($E21)</f>
        <v>59.40067588932806</v>
      </c>
      <c r="L21" s="137">
        <f>('Data Entry'!$F$16*$F21)-(L$10/(('Data Entry'!$C$9/100)*2200))*($E21)</f>
        <v>54.954035573122525</v>
      </c>
      <c r="M21" s="138">
        <f>('Data Entry'!$F$16*$F21)-(M$10/(('Data Entry'!$C$9/100)*2200))*($E21)</f>
        <v>50.50739525691698</v>
      </c>
    </row>
    <row r="22" spans="1:13" ht="13.5">
      <c r="A22" s="16"/>
      <c r="B22" s="17"/>
      <c r="C22" s="18"/>
      <c r="D22" s="18"/>
      <c r="E22" s="195">
        <f>E19+3*C10</f>
        <v>100</v>
      </c>
      <c r="F22" s="128">
        <f t="shared" si="0"/>
        <v>13.569999999999997</v>
      </c>
      <c r="G22" s="137">
        <f>('Data Entry'!$F$16*$F22)-(G$10/(('Data Entry'!$C$9/100)*2200))*($E22)</f>
        <v>77.66359683794462</v>
      </c>
      <c r="H22" s="137">
        <f>('Data Entry'!$F$16*$F22)-(H$10/(('Data Entry'!$C$9/100)*2200))*($E22)</f>
        <v>72.72288537549403</v>
      </c>
      <c r="I22" s="137">
        <f>('Data Entry'!$F$16*$F22)-(I$10/(('Data Entry'!$C$9/100)*2200))*($E22)</f>
        <v>67.78217391304345</v>
      </c>
      <c r="J22" s="137">
        <f>('Data Entry'!$F$16*$F22)-(J$10/(('Data Entry'!$C$9/100)*2200))*($E22)</f>
        <v>62.84146245059285</v>
      </c>
      <c r="K22" s="137">
        <f>('Data Entry'!$F$16*$F22)-(K$10/(('Data Entry'!$C$9/100)*2200))*($E22)</f>
        <v>57.90075098814226</v>
      </c>
      <c r="L22" s="137">
        <f>('Data Entry'!$F$16*$F22)-(L$10/(('Data Entry'!$C$9/100)*2200))*($E22)</f>
        <v>52.96003952569167</v>
      </c>
      <c r="M22" s="138">
        <f>('Data Entry'!$F$16*$F22)-(M$10/(('Data Entry'!$C$9/100)*2200))*($E22)</f>
        <v>48.01932806324106</v>
      </c>
    </row>
    <row r="23" spans="1:13" ht="13.5">
      <c r="A23" s="16"/>
      <c r="B23" s="17"/>
      <c r="C23" s="18"/>
      <c r="D23" s="18"/>
      <c r="E23" s="195">
        <f>E19+4*C10</f>
        <v>110</v>
      </c>
      <c r="F23" s="128">
        <f t="shared" si="0"/>
        <v>13.937000000000001</v>
      </c>
      <c r="G23" s="137">
        <f>('Data Entry'!$F$16*$F23)-(G$10/(('Data Entry'!$C$9/100)*2200))*($E23)</f>
        <v>76.51995652173915</v>
      </c>
      <c r="H23" s="137">
        <f>('Data Entry'!$F$16*$F23)-(H$10/(('Data Entry'!$C$9/100)*2200))*($E23)</f>
        <v>71.08517391304349</v>
      </c>
      <c r="I23" s="137">
        <f>('Data Entry'!$F$16*$F23)-(I$10/(('Data Entry'!$C$9/100)*2200))*($E23)</f>
        <v>65.65039130434783</v>
      </c>
      <c r="J23" s="137">
        <f>('Data Entry'!$F$16*$F23)-(J$10/(('Data Entry'!$C$9/100)*2200))*($E23)</f>
        <v>60.21560869565218</v>
      </c>
      <c r="K23" s="137">
        <f>('Data Entry'!$F$16*$F23)-(K$10/(('Data Entry'!$C$9/100)*2200))*($E23)</f>
        <v>54.78082608695654</v>
      </c>
      <c r="L23" s="137">
        <f>('Data Entry'!$F$16*$F23)-(L$10/(('Data Entry'!$C$9/100)*2200))*($E23)</f>
        <v>49.34604347826088</v>
      </c>
      <c r="M23" s="138">
        <f>('Data Entry'!$F$16*$F23)-(M$10/(('Data Entry'!$C$9/100)*2200))*($E23)</f>
        <v>43.911260869565226</v>
      </c>
    </row>
    <row r="24" spans="1:13" ht="13.5" customHeight="1">
      <c r="A24" s="16"/>
      <c r="B24" s="17"/>
      <c r="C24" s="18"/>
      <c r="D24" s="18"/>
      <c r="E24" s="266" t="s">
        <v>66</v>
      </c>
      <c r="F24" s="267"/>
      <c r="G24" s="277"/>
      <c r="H24" s="277"/>
      <c r="I24" s="277"/>
      <c r="J24" s="277"/>
      <c r="K24" s="277"/>
      <c r="L24" s="277"/>
      <c r="M24" s="278"/>
    </row>
    <row r="25" spans="1:13" ht="9.75" customHeight="1">
      <c r="A25" s="16"/>
      <c r="B25" s="17"/>
      <c r="C25" s="18"/>
      <c r="D25" s="18"/>
      <c r="E25" s="266" t="s">
        <v>16</v>
      </c>
      <c r="F25" s="267"/>
      <c r="G25" s="267"/>
      <c r="H25" s="267"/>
      <c r="I25" s="267"/>
      <c r="J25" s="267"/>
      <c r="K25" s="267"/>
      <c r="L25" s="267"/>
      <c r="M25" s="268"/>
    </row>
    <row r="26" spans="1:13" ht="9.75" customHeight="1">
      <c r="A26" s="16"/>
      <c r="B26" s="17"/>
      <c r="C26" s="18"/>
      <c r="D26" s="18"/>
      <c r="E26" s="266" t="s">
        <v>27</v>
      </c>
      <c r="F26" s="267"/>
      <c r="G26" s="267"/>
      <c r="H26" s="267"/>
      <c r="I26" s="267"/>
      <c r="J26" s="267"/>
      <c r="K26" s="267"/>
      <c r="L26" s="267"/>
      <c r="M26" s="268"/>
    </row>
    <row r="27" spans="1:19" ht="11.25" customHeight="1">
      <c r="A27" s="16"/>
      <c r="B27" s="17"/>
      <c r="C27" s="18"/>
      <c r="D27" s="18"/>
      <c r="E27" s="245" t="s">
        <v>92</v>
      </c>
      <c r="F27" s="279"/>
      <c r="G27" s="279"/>
      <c r="H27" s="279"/>
      <c r="I27" s="279"/>
      <c r="J27" s="279"/>
      <c r="K27" s="279"/>
      <c r="L27" s="279"/>
      <c r="M27" s="280"/>
      <c r="N27" s="132"/>
      <c r="O27"/>
      <c r="P27"/>
      <c r="Q27"/>
      <c r="R27"/>
      <c r="S27"/>
    </row>
    <row r="28" spans="1:13" ht="12" customHeight="1" thickBot="1">
      <c r="A28" s="16"/>
      <c r="B28" s="17"/>
      <c r="C28" s="18"/>
      <c r="D28" s="18"/>
      <c r="E28" s="269" t="s">
        <v>38</v>
      </c>
      <c r="F28" s="271"/>
      <c r="G28" s="271"/>
      <c r="H28" s="271"/>
      <c r="I28" s="271"/>
      <c r="J28" s="272"/>
      <c r="K28" s="272"/>
      <c r="L28" s="272"/>
      <c r="M28" s="273"/>
    </row>
    <row r="29" spans="2:13" ht="11.25" customHeight="1">
      <c r="B29" s="17"/>
      <c r="E29" s="267"/>
      <c r="F29" s="267"/>
      <c r="G29" s="267"/>
      <c r="H29" s="267"/>
      <c r="I29" s="267"/>
      <c r="J29" s="267"/>
      <c r="K29" s="267"/>
      <c r="L29" s="267"/>
      <c r="M29" s="268"/>
    </row>
    <row r="30" spans="2:13" ht="9.75" customHeight="1" thickBot="1">
      <c r="B30" s="224"/>
      <c r="C30" s="225"/>
      <c r="D30" s="225"/>
      <c r="E30" s="225"/>
      <c r="F30" s="225"/>
      <c r="G30" s="225"/>
      <c r="H30" s="225"/>
      <c r="I30" s="225"/>
      <c r="J30" s="55"/>
      <c r="K30" s="55"/>
      <c r="L30" s="55"/>
      <c r="M30" s="56"/>
    </row>
  </sheetData>
  <sheetProtection/>
  <mergeCells count="14">
    <mergeCell ref="B2:M2"/>
    <mergeCell ref="B3:M3"/>
    <mergeCell ref="B5:D5"/>
    <mergeCell ref="B7:C7"/>
    <mergeCell ref="E24:M24"/>
    <mergeCell ref="E25:M25"/>
    <mergeCell ref="E29:M29"/>
    <mergeCell ref="B30:I30"/>
    <mergeCell ref="E26:M26"/>
    <mergeCell ref="H8:L8"/>
    <mergeCell ref="G12:M12"/>
    <mergeCell ref="G13:M13"/>
    <mergeCell ref="E27:M27"/>
    <mergeCell ref="E28:M28"/>
  </mergeCells>
  <conditionalFormatting sqref="M15:M23">
    <cfRule type="cellIs" priority="1" dxfId="2" operator="equal" stopIfTrue="1">
      <formula>MAX($M$15:$M$23)</formula>
    </cfRule>
    <cfRule type="cellIs" priority="2" dxfId="0" operator="between" stopIfTrue="1">
      <formula>MAX($M$15:$M$23)</formula>
      <formula>MAX($M$15:$M$23)-1</formula>
    </cfRule>
    <cfRule type="cellIs" priority="3" dxfId="0" operator="between" stopIfTrue="1">
      <formula>MAX($M$15:$M$23)</formula>
      <formula>MAX($M$15:$M$23)+1</formula>
    </cfRule>
  </conditionalFormatting>
  <conditionalFormatting sqref="G15:G23">
    <cfRule type="cellIs" priority="4" dxfId="2" operator="equal" stopIfTrue="1">
      <formula>MAX($G$15:$G$23)</formula>
    </cfRule>
    <cfRule type="cellIs" priority="5" dxfId="0" operator="between" stopIfTrue="1">
      <formula>MAX($G$15:$G$23)</formula>
      <formula>MAX($G$15:$G$23)-1</formula>
    </cfRule>
    <cfRule type="cellIs" priority="6" dxfId="0" operator="between" stopIfTrue="1">
      <formula>MAX($G$15:$G$23)</formula>
      <formula>MAX($G$15:$G$23)+1</formula>
    </cfRule>
  </conditionalFormatting>
  <conditionalFormatting sqref="I15:I23">
    <cfRule type="cellIs" priority="7" dxfId="2" operator="equal" stopIfTrue="1">
      <formula>MAX($I$15:$I$23)</formula>
    </cfRule>
    <cfRule type="cellIs" priority="8" dxfId="0" operator="between" stopIfTrue="1">
      <formula>MAX($I$15:$I$23)</formula>
      <formula>MAX($I$15:$I$23)-1</formula>
    </cfRule>
    <cfRule type="cellIs" priority="9" dxfId="0" operator="between" stopIfTrue="1">
      <formula>MAX($I$15:$I$23)</formula>
      <formula>MAX($I$15:$I$23)+1</formula>
    </cfRule>
  </conditionalFormatting>
  <conditionalFormatting sqref="J15:J23">
    <cfRule type="cellIs" priority="10" dxfId="2" operator="equal" stopIfTrue="1">
      <formula>MAX($J$15:$J$23)</formula>
    </cfRule>
    <cfRule type="cellIs" priority="11" dxfId="0" operator="between" stopIfTrue="1">
      <formula>MAX($J$15:$J$23)</formula>
      <formula>MAX($J$15:$J$23)-1</formula>
    </cfRule>
    <cfRule type="cellIs" priority="12" dxfId="0" operator="between" stopIfTrue="1">
      <formula>MAX($J$15:$J$23)</formula>
      <formula>MAX($J$15:$J$23)+1</formula>
    </cfRule>
  </conditionalFormatting>
  <conditionalFormatting sqref="K15:K23">
    <cfRule type="cellIs" priority="13" dxfId="2" operator="equal" stopIfTrue="1">
      <formula>MAX($K$15:$K$23)</formula>
    </cfRule>
    <cfRule type="cellIs" priority="14" dxfId="0" operator="between" stopIfTrue="1">
      <formula>MAX($K$15:$K$23)</formula>
      <formula>MAX($K$15:$K$23)-1</formula>
    </cfRule>
    <cfRule type="cellIs" priority="15" dxfId="0" operator="between" stopIfTrue="1">
      <formula>MAX($K$15:$K$23)</formula>
      <formula>MAX($K$15:$K$23)+1</formula>
    </cfRule>
  </conditionalFormatting>
  <conditionalFormatting sqref="L15:L23">
    <cfRule type="cellIs" priority="16" dxfId="2" operator="equal" stopIfTrue="1">
      <formula>MAX($L$15:$L$23)</formula>
    </cfRule>
    <cfRule type="cellIs" priority="17" dxfId="0" operator="between" stopIfTrue="1">
      <formula>MAX($L$15:$L$23)</formula>
      <formula>MAX($L$15:$L$23)-1</formula>
    </cfRule>
    <cfRule type="cellIs" priority="18" dxfId="0" operator="between" stopIfTrue="1">
      <formula>MAX($L$15:$L$23)</formula>
      <formula>MAX($L$15:$L$23)+1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MAX($H$15:$HG$23)+1</formula>
    </cfRule>
  </conditionalFormatting>
  <hyperlinks>
    <hyperlink ref="N2" location="'Canola Crop'!A1" display="Return to Canola Crop as variable"/>
    <hyperlink ref="N3" location="'Canola MR'!A1" display="Go to Marginal Return Chart"/>
    <hyperlink ref="N5" location="'Data Entry'!A1" display="Return to Data Entry"/>
  </hyperlink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S30"/>
  <sheetViews>
    <sheetView showGridLines="0" zoomScalePageLayoutView="0" workbookViewId="0" topLeftCell="A1">
      <selection activeCell="N3" sqref="N3"/>
    </sheetView>
  </sheetViews>
  <sheetFormatPr defaultColWidth="9.140625" defaultRowHeight="12.75"/>
  <cols>
    <col min="1" max="1" width="1.57421875" style="10" customWidth="1"/>
    <col min="2" max="2" width="16.57421875" style="10" customWidth="1"/>
    <col min="3" max="5" width="9.140625" style="10" customWidth="1"/>
    <col min="6" max="6" width="13.57421875" style="10" customWidth="1"/>
    <col min="7" max="13" width="9.140625" style="10" customWidth="1"/>
    <col min="14" max="14" width="25.8515625" style="10" customWidth="1"/>
    <col min="15" max="16384" width="9.140625" style="10" customWidth="1"/>
  </cols>
  <sheetData>
    <row r="1" spans="2:9" ht="6" customHeight="1" thickBot="1">
      <c r="B1" s="11"/>
      <c r="C1" s="11"/>
      <c r="D1" s="11"/>
      <c r="E1" s="11"/>
      <c r="F1" s="11"/>
      <c r="G1" s="11"/>
      <c r="H1" s="11"/>
      <c r="I1" s="11"/>
    </row>
    <row r="2" spans="1:14" ht="21">
      <c r="A2" s="11"/>
      <c r="B2" s="253" t="s">
        <v>40</v>
      </c>
      <c r="C2" s="254"/>
      <c r="D2" s="254"/>
      <c r="E2" s="254"/>
      <c r="F2" s="254"/>
      <c r="G2" s="254"/>
      <c r="H2" s="254"/>
      <c r="I2" s="254"/>
      <c r="J2" s="254"/>
      <c r="K2" s="254"/>
      <c r="L2" s="254"/>
      <c r="M2" s="255"/>
      <c r="N2" s="163" t="s">
        <v>88</v>
      </c>
    </row>
    <row r="3" spans="1:14" ht="21">
      <c r="A3" s="11"/>
      <c r="B3" s="256" t="s">
        <v>65</v>
      </c>
      <c r="C3" s="257"/>
      <c r="D3" s="257"/>
      <c r="E3" s="257"/>
      <c r="F3" s="257"/>
      <c r="G3" s="257"/>
      <c r="H3" s="257"/>
      <c r="I3" s="257"/>
      <c r="J3" s="257"/>
      <c r="K3" s="257"/>
      <c r="L3" s="257"/>
      <c r="M3" s="258"/>
      <c r="N3" s="163" t="s">
        <v>69</v>
      </c>
    </row>
    <row r="4" spans="1:14" ht="6.75" customHeight="1">
      <c r="A4" s="11"/>
      <c r="B4" s="13"/>
      <c r="C4" s="14"/>
      <c r="D4" s="14"/>
      <c r="E4" s="14"/>
      <c r="F4" s="14"/>
      <c r="G4" s="14"/>
      <c r="H4" s="14"/>
      <c r="I4" s="14"/>
      <c r="J4" s="12"/>
      <c r="K4" s="12"/>
      <c r="L4" s="12"/>
      <c r="M4" s="15"/>
      <c r="N4" s="162"/>
    </row>
    <row r="5" spans="2:14" ht="12.75">
      <c r="B5" s="259"/>
      <c r="C5" s="260"/>
      <c r="D5" s="260"/>
      <c r="E5" s="12"/>
      <c r="F5" s="12"/>
      <c r="G5" s="12"/>
      <c r="H5" s="12"/>
      <c r="I5" s="12"/>
      <c r="J5" s="12"/>
      <c r="K5" s="12"/>
      <c r="L5" s="12"/>
      <c r="M5" s="15"/>
      <c r="N5" s="161" t="s">
        <v>100</v>
      </c>
    </row>
    <row r="6" spans="1:14" ht="4.5" customHeight="1" thickBot="1">
      <c r="A6" s="16"/>
      <c r="B6" s="17"/>
      <c r="C6" s="18"/>
      <c r="D6" s="18"/>
      <c r="E6" s="18"/>
      <c r="F6" s="18"/>
      <c r="G6" s="18"/>
      <c r="H6" s="18"/>
      <c r="I6" s="18"/>
      <c r="J6" s="12"/>
      <c r="K6" s="12"/>
      <c r="L6" s="12"/>
      <c r="M6" s="15"/>
      <c r="N6" s="162"/>
    </row>
    <row r="7" spans="1:13" ht="15.75" customHeight="1" thickBot="1">
      <c r="A7" s="16"/>
      <c r="B7" s="238" t="s">
        <v>61</v>
      </c>
      <c r="C7" s="239"/>
      <c r="D7" s="18"/>
      <c r="E7" s="18"/>
      <c r="F7" s="18"/>
      <c r="G7" s="18"/>
      <c r="H7" s="19"/>
      <c r="I7" s="18"/>
      <c r="J7" s="19"/>
      <c r="K7" s="12"/>
      <c r="L7" s="12"/>
      <c r="M7" s="15"/>
    </row>
    <row r="8" spans="1:13" ht="15" customHeight="1">
      <c r="A8" s="16"/>
      <c r="B8" s="87" t="s">
        <v>58</v>
      </c>
      <c r="C8" s="21" t="s">
        <v>64</v>
      </c>
      <c r="D8" s="18"/>
      <c r="E8" s="22"/>
      <c r="F8" s="23"/>
      <c r="G8" s="23"/>
      <c r="H8" s="230" t="s">
        <v>63</v>
      </c>
      <c r="I8" s="231"/>
      <c r="J8" s="231"/>
      <c r="K8" s="231"/>
      <c r="L8" s="231"/>
      <c r="M8" s="24"/>
    </row>
    <row r="9" spans="1:13" ht="13.5">
      <c r="A9" s="16"/>
      <c r="B9" s="20" t="s">
        <v>60</v>
      </c>
      <c r="C9" s="83">
        <f>'Data Entry'!F16</f>
        <v>9</v>
      </c>
      <c r="D9" s="18"/>
      <c r="E9" s="17"/>
      <c r="F9" s="18"/>
      <c r="G9" s="18"/>
      <c r="H9" s="19"/>
      <c r="I9" s="18"/>
      <c r="J9" s="19"/>
      <c r="K9" s="12"/>
      <c r="L9" s="12"/>
      <c r="M9" s="15"/>
    </row>
    <row r="10" spans="1:13" ht="13.5">
      <c r="A10" s="16"/>
      <c r="B10" s="30" t="s">
        <v>20</v>
      </c>
      <c r="C10" s="106">
        <f>'Data Entry'!C11</f>
        <v>10</v>
      </c>
      <c r="D10" s="18"/>
      <c r="E10" s="17"/>
      <c r="F10" s="18"/>
      <c r="G10" s="108">
        <f>H10-$C$12</f>
        <v>450</v>
      </c>
      <c r="H10" s="108">
        <f>I10-$C$12</f>
        <v>500</v>
      </c>
      <c r="I10" s="108">
        <f>J10-$C$12</f>
        <v>550</v>
      </c>
      <c r="J10" s="109">
        <f>'Data Entry'!C8</f>
        <v>600</v>
      </c>
      <c r="K10" s="108">
        <f>J10+$C$12</f>
        <v>650</v>
      </c>
      <c r="L10" s="108">
        <f>K10+$C$12</f>
        <v>700</v>
      </c>
      <c r="M10" s="110">
        <f>L10+$C$12</f>
        <v>750</v>
      </c>
    </row>
    <row r="11" spans="1:13" ht="13.5">
      <c r="A11" s="16"/>
      <c r="B11" s="33" t="s">
        <v>113</v>
      </c>
      <c r="C11" s="46"/>
      <c r="D11" s="18"/>
      <c r="E11" s="17"/>
      <c r="F11" s="29" t="s">
        <v>6</v>
      </c>
      <c r="G11" s="18"/>
      <c r="H11" s="18"/>
      <c r="I11" s="18"/>
      <c r="J11" s="12"/>
      <c r="K11" s="12"/>
      <c r="L11" s="12"/>
      <c r="M11" s="15"/>
    </row>
    <row r="12" spans="1:13" ht="13.5">
      <c r="A12" s="16"/>
      <c r="B12" s="37" t="s">
        <v>56</v>
      </c>
      <c r="C12" s="61">
        <f>'Data Entry'!C17</f>
        <v>50</v>
      </c>
      <c r="D12" s="18"/>
      <c r="E12" s="32"/>
      <c r="F12" s="29" t="s">
        <v>7</v>
      </c>
      <c r="G12" s="264" t="s">
        <v>8</v>
      </c>
      <c r="H12" s="264"/>
      <c r="I12" s="264"/>
      <c r="J12" s="264"/>
      <c r="K12" s="264"/>
      <c r="L12" s="264"/>
      <c r="M12" s="265"/>
    </row>
    <row r="13" spans="1:13" ht="14.25" thickBot="1">
      <c r="A13" s="16"/>
      <c r="B13" s="43" t="s">
        <v>28</v>
      </c>
      <c r="C13" s="46"/>
      <c r="D13" s="18"/>
      <c r="E13" s="35" t="s">
        <v>9</v>
      </c>
      <c r="F13" s="36" t="s">
        <v>10</v>
      </c>
      <c r="G13" s="228" t="s">
        <v>15</v>
      </c>
      <c r="H13" s="228"/>
      <c r="I13" s="228"/>
      <c r="J13" s="228"/>
      <c r="K13" s="228"/>
      <c r="L13" s="228"/>
      <c r="M13" s="229"/>
    </row>
    <row r="14" spans="1:13" ht="13.5">
      <c r="A14" s="16"/>
      <c r="B14" s="113" t="s">
        <v>29</v>
      </c>
      <c r="C14" s="107">
        <f>'Data Entry'!C15</f>
        <v>30</v>
      </c>
      <c r="D14" s="18"/>
      <c r="E14" s="39" t="s">
        <v>11</v>
      </c>
      <c r="F14" s="40" t="s">
        <v>12</v>
      </c>
      <c r="G14" s="111">
        <f>'Data Entry'!$F$16/(G$10/(('Data Entry'!$C$9/100)*2200))</f>
        <v>20.240000000000002</v>
      </c>
      <c r="H14" s="111">
        <f>'Data Entry'!$F$16/(H$10/(('Data Entry'!$C$9/100)*2200))</f>
        <v>18.216</v>
      </c>
      <c r="I14" s="111">
        <f>'Data Entry'!$F$16/(I$10/(('Data Entry'!$C$9/100)*2200))</f>
        <v>16.560000000000002</v>
      </c>
      <c r="J14" s="111">
        <f>'Data Entry'!$F$16/(J$10/(('Data Entry'!$C$9/100)*2200))</f>
        <v>15.18</v>
      </c>
      <c r="K14" s="111">
        <f>'Data Entry'!$F$16/(K$10/(('Data Entry'!$C$9/100)*2200))</f>
        <v>14.012307692307694</v>
      </c>
      <c r="L14" s="111">
        <f>'Data Entry'!$F$16/(L$10/(('Data Entry'!$C$9/100)*2200))</f>
        <v>13.01142857142857</v>
      </c>
      <c r="M14" s="112">
        <f>'Data Entry'!$F$16/(M$10/(('Data Entry'!$C$9/100)*2200))</f>
        <v>12.143999999999998</v>
      </c>
    </row>
    <row r="15" spans="1:13" ht="13.5">
      <c r="A15" s="16"/>
      <c r="B15" s="43" t="s">
        <v>30</v>
      </c>
      <c r="C15" s="46"/>
      <c r="D15" s="18"/>
      <c r="E15" s="195">
        <f>IF((E19-4*$C$10)&lt;0,0,(E19-4*$C$10))</f>
        <v>60</v>
      </c>
      <c r="F15" s="128">
        <f>IF(((-0.0005*(E15+$C$14)^2+0.2317*(E15+$C$14))-(-0.0005*($C$14)^2+0.2317*($C$14)))&lt;0,0,(-0.0005*(E15+$C$14)^2+0.2317*(E15+$C$14))-(-0.0005*($C$14)^2+0.2317*($C$14)))</f>
        <v>10.301999999999998</v>
      </c>
      <c r="G15" s="137">
        <f>('Data Entry'!$F$16*$F15)-(G$10/(('Data Entry'!$C$9/100)*2200))*($E15)</f>
        <v>66.03815810276677</v>
      </c>
      <c r="H15" s="137">
        <f>('Data Entry'!$F$16*$F15)-(H$10/(('Data Entry'!$C$9/100)*2200))*($E15)</f>
        <v>63.07373122529642</v>
      </c>
      <c r="I15" s="137">
        <f>('Data Entry'!$F$16*$F15)-(I$10/(('Data Entry'!$C$9/100)*2200))*($E15)</f>
        <v>60.10930434782606</v>
      </c>
      <c r="J15" s="137">
        <f>('Data Entry'!$F$16*$F15)-(J$10/(('Data Entry'!$C$9/100)*2200))*($E15)</f>
        <v>57.1448774703557</v>
      </c>
      <c r="K15" s="137">
        <f>('Data Entry'!$F$16*$F15)-(K$10/(('Data Entry'!$C$9/100)*2200))*($E15)</f>
        <v>54.18045059288535</v>
      </c>
      <c r="L15" s="137">
        <f>('Data Entry'!$F$16*$F15)-(L$10/(('Data Entry'!$C$9/100)*2200))*($E15)</f>
        <v>51.21602371541499</v>
      </c>
      <c r="M15" s="138">
        <f>('Data Entry'!$F$16*$F15)-(M$10/(('Data Entry'!$C$9/100)*2200))*($E15)</f>
        <v>48.25159683794464</v>
      </c>
    </row>
    <row r="16" spans="1:13" ht="13.5">
      <c r="A16" s="16"/>
      <c r="B16" s="54"/>
      <c r="D16" s="18"/>
      <c r="E16" s="195">
        <f>IF((E20-4*$C$10)&lt;0,0,(E20-4*$C$10))</f>
        <v>70</v>
      </c>
      <c r="F16" s="128">
        <f aca="true" t="shared" si="0" ref="F16:F23">IF(((-0.0005*(E16+$C$14)^2+0.2317*(E16+$C$14))-(-0.0005*($C$14)^2+0.2317*($C$14)))&lt;0,0,(-0.0005*(E16+$C$14)^2+0.2317*(E16+$C$14))-(-0.0005*($C$14)^2+0.2317*($C$14)))</f>
        <v>11.668999999999999</v>
      </c>
      <c r="G16" s="137">
        <f>('Data Entry'!$F$16*$F16)-(G$10/(('Data Entry'!$C$9/100)*2200))*($E16)</f>
        <v>73.89451778656125</v>
      </c>
      <c r="H16" s="137">
        <f>('Data Entry'!$F$16*$F16)-(H$10/(('Data Entry'!$C$9/100)*2200))*($E16)</f>
        <v>70.43601976284583</v>
      </c>
      <c r="I16" s="137">
        <f>('Data Entry'!$F$16*$F16)-(I$10/(('Data Entry'!$C$9/100)*2200))*($E16)</f>
        <v>66.97752173913042</v>
      </c>
      <c r="J16" s="137">
        <f>('Data Entry'!$F$16*$F16)-(J$10/(('Data Entry'!$C$9/100)*2200))*($E16)</f>
        <v>63.519023715415</v>
      </c>
      <c r="K16" s="137">
        <f>('Data Entry'!$F$16*$F16)-(K$10/(('Data Entry'!$C$9/100)*2200))*($E16)</f>
        <v>60.060525691699596</v>
      </c>
      <c r="L16" s="137">
        <f>('Data Entry'!$F$16*$F16)-(L$10/(('Data Entry'!$C$9/100)*2200))*($E16)</f>
        <v>56.602027667984174</v>
      </c>
      <c r="M16" s="138">
        <f>('Data Entry'!$F$16*$F16)-(M$10/(('Data Entry'!$C$9/100)*2200))*($E16)</f>
        <v>53.14352964426876</v>
      </c>
    </row>
    <row r="17" spans="1:13" ht="13.5">
      <c r="A17" s="16"/>
      <c r="B17" s="54"/>
      <c r="D17" s="18"/>
      <c r="E17" s="195">
        <f>IF((E21-4*$C$10)&lt;0,0,(E21-4*$C$10))</f>
        <v>80</v>
      </c>
      <c r="F17" s="128">
        <f t="shared" si="0"/>
        <v>12.935999999999998</v>
      </c>
      <c r="G17" s="137">
        <f>('Data Entry'!$F$16*$F17)-(G$10/(('Data Entry'!$C$9/100)*2200))*($E17)</f>
        <v>80.85087747035571</v>
      </c>
      <c r="H17" s="137">
        <f>('Data Entry'!$F$16*$F17)-(H$10/(('Data Entry'!$C$9/100)*2200))*($E17)</f>
        <v>76.89830830039523</v>
      </c>
      <c r="I17" s="137">
        <f>('Data Entry'!$F$16*$F17)-(I$10/(('Data Entry'!$C$9/100)*2200))*($E17)</f>
        <v>72.94573913043476</v>
      </c>
      <c r="J17" s="137">
        <f>('Data Entry'!$F$16*$F17)-(J$10/(('Data Entry'!$C$9/100)*2200))*($E17)</f>
        <v>68.99316996047429</v>
      </c>
      <c r="K17" s="137">
        <f>('Data Entry'!$F$16*$F17)-(K$10/(('Data Entry'!$C$9/100)*2200))*($E17)</f>
        <v>65.04060079051382</v>
      </c>
      <c r="L17" s="137">
        <f>('Data Entry'!$F$16*$F17)-(L$10/(('Data Entry'!$C$9/100)*2200))*($E17)</f>
        <v>61.08803162055334</v>
      </c>
      <c r="M17" s="138">
        <f>('Data Entry'!$F$16*$F17)-(M$10/(('Data Entry'!$C$9/100)*2200))*($E17)</f>
        <v>57.13546245059286</v>
      </c>
    </row>
    <row r="18" spans="1:13" ht="14.25" thickBot="1">
      <c r="A18" s="16"/>
      <c r="B18" s="17"/>
      <c r="C18" s="18"/>
      <c r="D18" s="18"/>
      <c r="E18" s="198">
        <f>IF((E22-4*$C$10)&lt;0,0,(E22-4*$C$10))</f>
        <v>90</v>
      </c>
      <c r="F18" s="128">
        <f t="shared" si="0"/>
        <v>14.103</v>
      </c>
      <c r="G18" s="137">
        <f>('Data Entry'!$F$16*$F18)-(G$10/(('Data Entry'!$C$9/100)*2200))*($E18)</f>
        <v>86.90723715415018</v>
      </c>
      <c r="H18" s="137">
        <f>('Data Entry'!$F$16*$F18)-(H$10/(('Data Entry'!$C$9/100)*2200))*($E18)</f>
        <v>82.46059683794465</v>
      </c>
      <c r="I18" s="137">
        <f>('Data Entry'!$F$16*$F18)-(I$10/(('Data Entry'!$C$9/100)*2200))*($E18)</f>
        <v>78.01395652173912</v>
      </c>
      <c r="J18" s="137">
        <f>('Data Entry'!$F$16*$F18)-(J$10/(('Data Entry'!$C$9/100)*2200))*($E18)</f>
        <v>73.56731620553359</v>
      </c>
      <c r="K18" s="137">
        <f>('Data Entry'!$F$16*$F18)-(K$10/(('Data Entry'!$C$9/100)*2200))*($E18)</f>
        <v>69.12067588932806</v>
      </c>
      <c r="L18" s="137">
        <f>('Data Entry'!$F$16*$F18)-(L$10/(('Data Entry'!$C$9/100)*2200))*($E18)</f>
        <v>64.67403557312252</v>
      </c>
      <c r="M18" s="138">
        <f>('Data Entry'!$F$16*$F18)-(M$10/(('Data Entry'!$C$9/100)*2200))*($E18)</f>
        <v>60.22739525691698</v>
      </c>
    </row>
    <row r="19" spans="1:13" ht="14.25" thickBot="1">
      <c r="A19" s="16"/>
      <c r="B19" s="54"/>
      <c r="C19" s="48"/>
      <c r="D19" s="49" t="s">
        <v>13</v>
      </c>
      <c r="E19" s="50">
        <f>'Data Entry'!F12</f>
        <v>100</v>
      </c>
      <c r="F19" s="197">
        <f t="shared" si="0"/>
        <v>15.17</v>
      </c>
      <c r="G19" s="137">
        <f>('Data Entry'!$F$16*$F19)-(G$10/(('Data Entry'!$C$9/100)*2200))*($E19)</f>
        <v>92.06359683794466</v>
      </c>
      <c r="H19" s="137">
        <f>('Data Entry'!$F$16*$F19)-(H$10/(('Data Entry'!$C$9/100)*2200))*($E19)</f>
        <v>87.12288537549406</v>
      </c>
      <c r="I19" s="137">
        <f>('Data Entry'!$F$16*$F19)-(I$10/(('Data Entry'!$C$9/100)*2200))*($E19)</f>
        <v>82.18217391304348</v>
      </c>
      <c r="J19" s="137">
        <f>('Data Entry'!$F$16*$F19)-(J$10/(('Data Entry'!$C$9/100)*2200))*($E19)</f>
        <v>77.24146245059288</v>
      </c>
      <c r="K19" s="137">
        <f>('Data Entry'!$F$16*$F19)-(K$10/(('Data Entry'!$C$9/100)*2200))*($E19)</f>
        <v>72.3007509881423</v>
      </c>
      <c r="L19" s="137">
        <f>('Data Entry'!$F$16*$F19)-(L$10/(('Data Entry'!$C$9/100)*2200))*($E19)</f>
        <v>67.3600395256917</v>
      </c>
      <c r="M19" s="138">
        <f>('Data Entry'!$F$16*$F19)-(M$10/(('Data Entry'!$C$9/100)*2200))*($E19)</f>
        <v>62.419328063241096</v>
      </c>
    </row>
    <row r="20" spans="1:13" ht="13.5">
      <c r="A20" s="16"/>
      <c r="B20" s="17"/>
      <c r="C20" s="18"/>
      <c r="D20" s="18"/>
      <c r="E20" s="199">
        <f>E19+C10</f>
        <v>110</v>
      </c>
      <c r="F20" s="128">
        <f t="shared" si="0"/>
        <v>16.136999999999993</v>
      </c>
      <c r="G20" s="137">
        <f>('Data Entry'!$F$16*$F20)-(G$10/(('Data Entry'!$C$9/100)*2200))*($E20)</f>
        <v>96.31995652173907</v>
      </c>
      <c r="H20" s="137">
        <f>('Data Entry'!$F$16*$F20)-(H$10/(('Data Entry'!$C$9/100)*2200))*($E20)</f>
        <v>90.88517391304343</v>
      </c>
      <c r="I20" s="137">
        <f>('Data Entry'!$F$16*$F20)-(I$10/(('Data Entry'!$C$9/100)*2200))*($E20)</f>
        <v>85.45039130434778</v>
      </c>
      <c r="J20" s="137">
        <f>('Data Entry'!$F$16*$F20)-(J$10/(('Data Entry'!$C$9/100)*2200))*($E20)</f>
        <v>80.01560869565212</v>
      </c>
      <c r="K20" s="137">
        <f>('Data Entry'!$F$16*$F20)-(K$10/(('Data Entry'!$C$9/100)*2200))*($E20)</f>
        <v>74.58082608695648</v>
      </c>
      <c r="L20" s="137">
        <f>('Data Entry'!$F$16*$F20)-(L$10/(('Data Entry'!$C$9/100)*2200))*($E20)</f>
        <v>69.14604347826082</v>
      </c>
      <c r="M20" s="138">
        <f>('Data Entry'!$F$16*$F20)-(M$10/(('Data Entry'!$C$9/100)*2200))*($E20)</f>
        <v>63.711260869565166</v>
      </c>
    </row>
    <row r="21" spans="1:13" ht="13.5">
      <c r="A21" s="16"/>
      <c r="B21" s="17"/>
      <c r="C21" s="18"/>
      <c r="D21" s="18"/>
      <c r="E21" s="195">
        <f>E19+2*C10</f>
        <v>120</v>
      </c>
      <c r="F21" s="128">
        <f t="shared" si="0"/>
        <v>17.003999999999998</v>
      </c>
      <c r="G21" s="137">
        <f>('Data Entry'!$F$16*$F21)-(G$10/(('Data Entry'!$C$9/100)*2200))*($E21)</f>
        <v>99.67631620553357</v>
      </c>
      <c r="H21" s="137">
        <f>('Data Entry'!$F$16*$F21)-(H$10/(('Data Entry'!$C$9/100)*2200))*($E21)</f>
        <v>93.74746245059286</v>
      </c>
      <c r="I21" s="137">
        <f>('Data Entry'!$F$16*$F21)-(I$10/(('Data Entry'!$C$9/100)*2200))*($E21)</f>
        <v>87.81860869565215</v>
      </c>
      <c r="J21" s="137">
        <f>('Data Entry'!$F$16*$F21)-(J$10/(('Data Entry'!$C$9/100)*2200))*($E21)</f>
        <v>81.88975494071143</v>
      </c>
      <c r="K21" s="137">
        <f>('Data Entry'!$F$16*$F21)-(K$10/(('Data Entry'!$C$9/100)*2200))*($E21)</f>
        <v>75.96090118577072</v>
      </c>
      <c r="L21" s="137">
        <f>('Data Entry'!$F$16*$F21)-(L$10/(('Data Entry'!$C$9/100)*2200))*($E21)</f>
        <v>70.03204743083</v>
      </c>
      <c r="M21" s="138">
        <f>('Data Entry'!$F$16*$F21)-(M$10/(('Data Entry'!$C$9/100)*2200))*($E21)</f>
        <v>64.1031936758893</v>
      </c>
    </row>
    <row r="22" spans="1:13" ht="13.5">
      <c r="A22" s="16"/>
      <c r="B22" s="17"/>
      <c r="C22" s="18"/>
      <c r="D22" s="18"/>
      <c r="E22" s="195">
        <f>E19+3*C10</f>
        <v>130</v>
      </c>
      <c r="F22" s="128">
        <f t="shared" si="0"/>
        <v>17.770999999999994</v>
      </c>
      <c r="G22" s="137">
        <f>('Data Entry'!$F$16*$F22)-(G$10/(('Data Entry'!$C$9/100)*2200))*($E22)</f>
        <v>102.132675889328</v>
      </c>
      <c r="H22" s="137">
        <f>('Data Entry'!$F$16*$F22)-(H$10/(('Data Entry'!$C$9/100)*2200))*($E22)</f>
        <v>95.70975098814223</v>
      </c>
      <c r="I22" s="137">
        <f>('Data Entry'!$F$16*$F22)-(I$10/(('Data Entry'!$C$9/100)*2200))*($E22)</f>
        <v>89.28682608695647</v>
      </c>
      <c r="J22" s="137">
        <f>('Data Entry'!$F$16*$F22)-(J$10/(('Data Entry'!$C$9/100)*2200))*($E22)</f>
        <v>82.86390118577069</v>
      </c>
      <c r="K22" s="137">
        <f>('Data Entry'!$F$16*$F22)-(K$10/(('Data Entry'!$C$9/100)*2200))*($E22)</f>
        <v>76.44097628458492</v>
      </c>
      <c r="L22" s="137">
        <f>('Data Entry'!$F$16*$F22)-(L$10/(('Data Entry'!$C$9/100)*2200))*($E22)</f>
        <v>70.01805138339914</v>
      </c>
      <c r="M22" s="138">
        <f>('Data Entry'!$F$16*$F22)-(M$10/(('Data Entry'!$C$9/100)*2200))*($E22)</f>
        <v>63.595126482213374</v>
      </c>
    </row>
    <row r="23" spans="1:13" ht="13.5">
      <c r="A23" s="16"/>
      <c r="B23" s="17"/>
      <c r="C23" s="18"/>
      <c r="D23" s="18"/>
      <c r="E23" s="195">
        <f>E19+4*C10</f>
        <v>140</v>
      </c>
      <c r="F23" s="128">
        <f t="shared" si="0"/>
        <v>18.437999999999995</v>
      </c>
      <c r="G23" s="137">
        <f>('Data Entry'!$F$16*$F23)-(G$10/(('Data Entry'!$C$9/100)*2200))*($E23)</f>
        <v>103.68903557312248</v>
      </c>
      <c r="H23" s="137">
        <f>('Data Entry'!$F$16*$F23)-(H$10/(('Data Entry'!$C$9/100)*2200))*($E23)</f>
        <v>96.77203952569165</v>
      </c>
      <c r="I23" s="137">
        <f>('Data Entry'!$F$16*$F23)-(I$10/(('Data Entry'!$C$9/100)*2200))*($E23)</f>
        <v>89.85504347826082</v>
      </c>
      <c r="J23" s="137">
        <f>('Data Entry'!$F$16*$F23)-(J$10/(('Data Entry'!$C$9/100)*2200))*($E23)</f>
        <v>82.93804743082998</v>
      </c>
      <c r="K23" s="137">
        <f>('Data Entry'!$F$16*$F23)-(K$10/(('Data Entry'!$C$9/100)*2200))*($E23)</f>
        <v>76.02105138339917</v>
      </c>
      <c r="L23" s="137">
        <f>('Data Entry'!$F$16*$F23)-(L$10/(('Data Entry'!$C$9/100)*2200))*($E23)</f>
        <v>69.10405533596833</v>
      </c>
      <c r="M23" s="138">
        <f>('Data Entry'!$F$16*$F23)-(M$10/(('Data Entry'!$C$9/100)*2200))*($E23)</f>
        <v>62.1870592885375</v>
      </c>
    </row>
    <row r="24" spans="1:13" ht="11.25" customHeight="1">
      <c r="A24" s="16"/>
      <c r="B24" s="17"/>
      <c r="C24" s="18"/>
      <c r="D24" s="18"/>
      <c r="E24" s="266" t="s">
        <v>66</v>
      </c>
      <c r="F24" s="267"/>
      <c r="G24" s="277"/>
      <c r="H24" s="277"/>
      <c r="I24" s="277"/>
      <c r="J24" s="277"/>
      <c r="K24" s="277"/>
      <c r="L24" s="277"/>
      <c r="M24" s="278"/>
    </row>
    <row r="25" spans="1:13" ht="11.25" customHeight="1">
      <c r="A25" s="16"/>
      <c r="B25" s="17"/>
      <c r="C25" s="18"/>
      <c r="D25" s="18"/>
      <c r="E25" s="266" t="s">
        <v>16</v>
      </c>
      <c r="F25" s="267"/>
      <c r="G25" s="267"/>
      <c r="H25" s="267"/>
      <c r="I25" s="267"/>
      <c r="J25" s="267"/>
      <c r="K25" s="267"/>
      <c r="L25" s="267"/>
      <c r="M25" s="268"/>
    </row>
    <row r="26" spans="1:13" ht="11.25" customHeight="1">
      <c r="A26" s="16"/>
      <c r="B26" s="17"/>
      <c r="C26" s="18"/>
      <c r="D26" s="18"/>
      <c r="E26" s="266" t="s">
        <v>25</v>
      </c>
      <c r="F26" s="267"/>
      <c r="G26" s="267"/>
      <c r="H26" s="267"/>
      <c r="I26" s="267"/>
      <c r="J26" s="267"/>
      <c r="K26" s="267"/>
      <c r="L26" s="267"/>
      <c r="M26" s="268"/>
    </row>
    <row r="27" spans="1:19" ht="11.25" customHeight="1">
      <c r="A27" s="16"/>
      <c r="B27" s="17"/>
      <c r="C27" s="18"/>
      <c r="D27" s="18"/>
      <c r="E27" s="245" t="s">
        <v>92</v>
      </c>
      <c r="F27" s="279"/>
      <c r="G27" s="279"/>
      <c r="H27" s="279"/>
      <c r="I27" s="279"/>
      <c r="J27" s="279"/>
      <c r="K27" s="279"/>
      <c r="L27" s="279"/>
      <c r="M27" s="280"/>
      <c r="N27" s="132"/>
      <c r="O27"/>
      <c r="P27"/>
      <c r="Q27"/>
      <c r="R27"/>
      <c r="S27"/>
    </row>
    <row r="28" spans="1:13" ht="11.25" customHeight="1" thickBot="1">
      <c r="A28" s="16"/>
      <c r="B28" s="17"/>
      <c r="C28" s="18"/>
      <c r="D28" s="18"/>
      <c r="E28" s="269" t="s">
        <v>38</v>
      </c>
      <c r="F28" s="271"/>
      <c r="G28" s="271"/>
      <c r="H28" s="271"/>
      <c r="I28" s="271"/>
      <c r="J28" s="272"/>
      <c r="K28" s="272"/>
      <c r="L28" s="272"/>
      <c r="M28" s="273"/>
    </row>
    <row r="29" spans="2:13" ht="11.25" customHeight="1">
      <c r="B29" s="17"/>
      <c r="E29" s="267"/>
      <c r="F29" s="267"/>
      <c r="G29" s="267"/>
      <c r="H29" s="267"/>
      <c r="I29" s="267"/>
      <c r="J29" s="267"/>
      <c r="K29" s="267"/>
      <c r="L29" s="267"/>
      <c r="M29" s="268"/>
    </row>
    <row r="30" spans="2:13" ht="10.5" customHeight="1" thickBot="1">
      <c r="B30" s="224"/>
      <c r="C30" s="225"/>
      <c r="D30" s="225"/>
      <c r="E30" s="225"/>
      <c r="F30" s="225"/>
      <c r="G30" s="225"/>
      <c r="H30" s="225"/>
      <c r="I30" s="225"/>
      <c r="J30" s="55"/>
      <c r="K30" s="55"/>
      <c r="L30" s="55"/>
      <c r="M30" s="56"/>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sheetData>
  <sheetProtection/>
  <mergeCells count="14">
    <mergeCell ref="B2:M2"/>
    <mergeCell ref="B3:M3"/>
    <mergeCell ref="B5:D5"/>
    <mergeCell ref="B7:C7"/>
    <mergeCell ref="H8:L8"/>
    <mergeCell ref="G12:M12"/>
    <mergeCell ref="E25:M25"/>
    <mergeCell ref="E26:M26"/>
    <mergeCell ref="G13:M13"/>
    <mergeCell ref="E24:M24"/>
    <mergeCell ref="B30:I30"/>
    <mergeCell ref="E28:M28"/>
    <mergeCell ref="E29:M29"/>
    <mergeCell ref="E27:M27"/>
  </mergeCells>
  <conditionalFormatting sqref="M15:M23">
    <cfRule type="cellIs" priority="1" dxfId="2" operator="equal" stopIfTrue="1">
      <formula>MAX($M$15:$M$23)</formula>
    </cfRule>
    <cfRule type="cellIs" priority="2" dxfId="0" operator="between" stopIfTrue="1">
      <formula>MAX($M$15:$M$23)</formula>
      <formula>MAX($M$15:$M$23)-1</formula>
    </cfRule>
    <cfRule type="cellIs" priority="3" dxfId="0" operator="between" stopIfTrue="1">
      <formula>MAX($M$15:$M$23)</formula>
      <formula>MAX($M$15:$M$23)+1</formula>
    </cfRule>
  </conditionalFormatting>
  <conditionalFormatting sqref="G15:G23">
    <cfRule type="cellIs" priority="4" dxfId="2" operator="equal" stopIfTrue="1">
      <formula>MAX($G$15:$G$23)</formula>
    </cfRule>
    <cfRule type="cellIs" priority="5" dxfId="0" operator="between" stopIfTrue="1">
      <formula>MAX($G$15:$G$23)</formula>
      <formula>MAX($G$15:$G$23)-1</formula>
    </cfRule>
    <cfRule type="cellIs" priority="6" dxfId="0" operator="between" stopIfTrue="1">
      <formula>MAX($G$15:$G$23)</formula>
      <formula>MAX($G$15:$G$23)+1</formula>
    </cfRule>
  </conditionalFormatting>
  <conditionalFormatting sqref="I15:I23">
    <cfRule type="cellIs" priority="7" dxfId="2" operator="equal" stopIfTrue="1">
      <formula>MAX($I$15:$I$23)</formula>
    </cfRule>
    <cfRule type="cellIs" priority="8" dxfId="0" operator="between" stopIfTrue="1">
      <formula>MAX($I$15:$I$23)</formula>
      <formula>MAX($I$15:$I$23)-1</formula>
    </cfRule>
    <cfRule type="cellIs" priority="9" dxfId="0" operator="between" stopIfTrue="1">
      <formula>MAX($I$15:$I$23)</formula>
      <formula>MAX($I$15:$I$23)+1</formula>
    </cfRule>
  </conditionalFormatting>
  <conditionalFormatting sqref="J15:J23">
    <cfRule type="cellIs" priority="10" dxfId="2" operator="equal" stopIfTrue="1">
      <formula>MAX($J$15:$J$23)</formula>
    </cfRule>
    <cfRule type="cellIs" priority="11" dxfId="0" operator="between" stopIfTrue="1">
      <formula>MAX($J$15:$J$23)</formula>
      <formula>MAX($J$15:$J$23)-1</formula>
    </cfRule>
    <cfRule type="cellIs" priority="12" dxfId="0" operator="between" stopIfTrue="1">
      <formula>MAX($J$15:$J$23)</formula>
      <formula>MAX($J$15:$J$23)+1</formula>
    </cfRule>
  </conditionalFormatting>
  <conditionalFormatting sqref="K15:K23">
    <cfRule type="cellIs" priority="13" dxfId="2" operator="equal" stopIfTrue="1">
      <formula>MAX($K$15:$K$23)</formula>
    </cfRule>
    <cfRule type="cellIs" priority="14" dxfId="0" operator="between" stopIfTrue="1">
      <formula>MAX($K$15:$K$23)</formula>
      <formula>MAX($K$15:$K$23)-1</formula>
    </cfRule>
    <cfRule type="cellIs" priority="15" dxfId="0" operator="between" stopIfTrue="1">
      <formula>MAX($K$15:$K$23)</formula>
      <formula>MAX($K$15:$K$23)+1</formula>
    </cfRule>
  </conditionalFormatting>
  <conditionalFormatting sqref="L15:L23">
    <cfRule type="cellIs" priority="16" dxfId="2" operator="equal" stopIfTrue="1">
      <formula>MAX($L$15:$L$23)</formula>
    </cfRule>
    <cfRule type="cellIs" priority="17" dxfId="0" operator="between" stopIfTrue="1">
      <formula>MAX($L$15:$L$23)</formula>
      <formula>MAX($L$15:$L$23)-1</formula>
    </cfRule>
    <cfRule type="cellIs" priority="18" dxfId="0" operator="between" stopIfTrue="1">
      <formula>MAX($L$15:$L$23)</formula>
      <formula>MAX($L$15:$L$23)+1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MAX($H$15:$HG$23)+1</formula>
    </cfRule>
  </conditionalFormatting>
  <hyperlinks>
    <hyperlink ref="N2" location="'Canola (hybrid) Crop'!A1" display="Return to Canola (hybrid) as variable"/>
    <hyperlink ref="N3" location="'Canola (hybrid) MR'!A1" display="Go to Marginal Return Chart"/>
    <hyperlink ref="N5" location="'Data Entry'!A1" display="Return to Data Entry"/>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56"/>
  <sheetViews>
    <sheetView showGridLines="0" zoomScalePageLayoutView="0" workbookViewId="0" topLeftCell="A1">
      <selection activeCell="O3" sqref="O3:Q3"/>
    </sheetView>
  </sheetViews>
  <sheetFormatPr defaultColWidth="9.140625" defaultRowHeight="12.75"/>
  <cols>
    <col min="1" max="1" width="1.57421875" style="10" customWidth="1"/>
    <col min="2" max="2" width="17.140625" style="10" customWidth="1"/>
    <col min="3" max="3" width="9.140625" style="10" customWidth="1"/>
    <col min="4" max="4" width="11.140625" style="10" customWidth="1"/>
    <col min="5" max="5" width="9.140625" style="10" customWidth="1"/>
    <col min="6" max="6" width="9.421875" style="10" customWidth="1"/>
    <col min="7" max="7" width="13.57421875" style="10" customWidth="1"/>
    <col min="8" max="14" width="9.140625" style="10" customWidth="1"/>
    <col min="15" max="15" width="27.8515625" style="157" customWidth="1"/>
    <col min="16" max="16" width="10.28125" style="10" customWidth="1"/>
    <col min="17" max="16384" width="9.140625" style="10" customWidth="1"/>
  </cols>
  <sheetData>
    <row r="1" spans="2:10" ht="6" customHeight="1" thickBot="1">
      <c r="B1" s="11"/>
      <c r="C1" s="11"/>
      <c r="D1" s="11"/>
      <c r="E1" s="11"/>
      <c r="F1" s="11"/>
      <c r="G1" s="11"/>
      <c r="H1" s="11"/>
      <c r="I1" s="11"/>
      <c r="J1" s="11"/>
    </row>
    <row r="2" spans="1:17" ht="21">
      <c r="A2" s="11"/>
      <c r="B2" s="253" t="s">
        <v>40</v>
      </c>
      <c r="C2" s="254"/>
      <c r="D2" s="254"/>
      <c r="E2" s="254"/>
      <c r="F2" s="254"/>
      <c r="G2" s="254"/>
      <c r="H2" s="254"/>
      <c r="I2" s="254"/>
      <c r="J2" s="254"/>
      <c r="K2" s="254"/>
      <c r="L2" s="254"/>
      <c r="M2" s="254"/>
      <c r="N2" s="255"/>
      <c r="O2" s="274" t="s">
        <v>69</v>
      </c>
      <c r="P2" s="275"/>
      <c r="Q2" s="275"/>
    </row>
    <row r="3" spans="1:17" ht="21">
      <c r="A3" s="11"/>
      <c r="B3" s="256" t="s">
        <v>48</v>
      </c>
      <c r="C3" s="257"/>
      <c r="D3" s="257"/>
      <c r="E3" s="257"/>
      <c r="F3" s="257"/>
      <c r="G3" s="257"/>
      <c r="H3" s="257"/>
      <c r="I3" s="257"/>
      <c r="J3" s="257"/>
      <c r="K3" s="257"/>
      <c r="L3" s="257"/>
      <c r="M3" s="257"/>
      <c r="N3" s="258"/>
      <c r="O3" s="274" t="s">
        <v>76</v>
      </c>
      <c r="P3" s="275"/>
      <c r="Q3" s="275"/>
    </row>
    <row r="4" spans="1:17" ht="6.75" customHeight="1">
      <c r="A4" s="11"/>
      <c r="B4" s="13"/>
      <c r="C4" s="14"/>
      <c r="D4" s="14"/>
      <c r="E4" s="14"/>
      <c r="F4" s="14"/>
      <c r="G4" s="14"/>
      <c r="H4" s="14"/>
      <c r="I4" s="14"/>
      <c r="J4" s="14"/>
      <c r="K4" s="12"/>
      <c r="L4" s="12"/>
      <c r="M4" s="12"/>
      <c r="N4" s="15"/>
      <c r="O4" s="164"/>
      <c r="P4" s="162"/>
      <c r="Q4" s="162"/>
    </row>
    <row r="5" spans="2:17" ht="12.75">
      <c r="B5" s="259"/>
      <c r="C5" s="260"/>
      <c r="D5" s="260"/>
      <c r="E5" s="261"/>
      <c r="F5" s="11"/>
      <c r="I5" s="12"/>
      <c r="J5" s="12"/>
      <c r="K5" s="12"/>
      <c r="L5" s="12"/>
      <c r="M5" s="12"/>
      <c r="N5" s="15"/>
      <c r="O5" s="161" t="s">
        <v>100</v>
      </c>
      <c r="P5" s="162"/>
      <c r="Q5" s="162"/>
    </row>
    <row r="6" spans="1:17" ht="4.5" customHeight="1" thickBot="1">
      <c r="A6" s="16"/>
      <c r="B6" s="17"/>
      <c r="C6" s="18"/>
      <c r="D6" s="18"/>
      <c r="E6" s="18"/>
      <c r="F6" s="18"/>
      <c r="G6" s="18"/>
      <c r="H6" s="18"/>
      <c r="I6" s="18"/>
      <c r="J6" s="18"/>
      <c r="K6" s="12"/>
      <c r="L6" s="12"/>
      <c r="M6" s="12"/>
      <c r="N6" s="15"/>
      <c r="O6" s="164"/>
      <c r="P6" s="162"/>
      <c r="Q6" s="162"/>
    </row>
    <row r="7" spans="1:15" ht="15.75" customHeight="1" thickBot="1">
      <c r="A7" s="16"/>
      <c r="B7" s="238" t="s">
        <v>39</v>
      </c>
      <c r="C7" s="239"/>
      <c r="E7" s="18"/>
      <c r="F7" s="18"/>
      <c r="G7" s="18"/>
      <c r="H7" s="18"/>
      <c r="I7" s="19"/>
      <c r="J7" s="18"/>
      <c r="K7" s="19"/>
      <c r="L7" s="12"/>
      <c r="M7" s="12"/>
      <c r="N7" s="15"/>
      <c r="O7" s="158"/>
    </row>
    <row r="8" spans="1:15" ht="15" customHeight="1">
      <c r="A8" s="16"/>
      <c r="B8" s="87" t="s">
        <v>1</v>
      </c>
      <c r="C8" s="21" t="str">
        <f>'Data Entry'!C7</f>
        <v>UREA</v>
      </c>
      <c r="D8" s="18"/>
      <c r="E8" s="22"/>
      <c r="F8" s="63"/>
      <c r="G8" s="222" t="s">
        <v>106</v>
      </c>
      <c r="H8" s="23"/>
      <c r="I8" s="262" t="s">
        <v>17</v>
      </c>
      <c r="J8" s="263"/>
      <c r="K8" s="263"/>
      <c r="L8" s="263"/>
      <c r="M8" s="263"/>
      <c r="N8" s="24"/>
      <c r="O8" s="158"/>
    </row>
    <row r="9" spans="1:15" ht="13.5">
      <c r="A9" s="16"/>
      <c r="B9" s="20" t="s">
        <v>3</v>
      </c>
      <c r="C9" s="59">
        <f>'Data Entry'!C8</f>
        <v>600</v>
      </c>
      <c r="D9" s="18"/>
      <c r="E9" s="17"/>
      <c r="F9" s="66"/>
      <c r="G9" s="223"/>
      <c r="H9" s="18"/>
      <c r="I9" s="19"/>
      <c r="J9" s="18"/>
      <c r="K9" s="19"/>
      <c r="L9" s="12"/>
      <c r="M9" s="12"/>
      <c r="N9" s="15"/>
      <c r="O9" s="158"/>
    </row>
    <row r="10" spans="1:15" ht="13.5">
      <c r="A10" s="16"/>
      <c r="B10" s="20" t="s">
        <v>4</v>
      </c>
      <c r="C10" s="25">
        <f>'Data Entry'!C9</f>
        <v>46</v>
      </c>
      <c r="D10" s="18"/>
      <c r="E10" s="17"/>
      <c r="F10" s="66"/>
      <c r="G10" s="223"/>
      <c r="H10" s="26">
        <f>K10-C14*3</f>
        <v>3.5</v>
      </c>
      <c r="I10" s="26">
        <f>K10-C14*2</f>
        <v>4</v>
      </c>
      <c r="J10" s="26">
        <f>K10-C14</f>
        <v>4.5</v>
      </c>
      <c r="K10" s="27">
        <f>'Data Entry'!F14</f>
        <v>5</v>
      </c>
      <c r="L10" s="26">
        <f>K10+C14</f>
        <v>5.5</v>
      </c>
      <c r="M10" s="26">
        <f>K10+C14*2</f>
        <v>6</v>
      </c>
      <c r="N10" s="28">
        <f>K10+C14*3</f>
        <v>6.5</v>
      </c>
      <c r="O10" s="158"/>
    </row>
    <row r="11" spans="1:15" ht="13.5">
      <c r="A11" s="16"/>
      <c r="B11" s="20" t="s">
        <v>5</v>
      </c>
      <c r="C11" s="61">
        <f>(C9/((C10/100)*2200))</f>
        <v>0.5928853754940712</v>
      </c>
      <c r="D11" s="18"/>
      <c r="E11" s="17"/>
      <c r="F11" s="66"/>
      <c r="G11" s="29" t="s">
        <v>6</v>
      </c>
      <c r="H11" s="18"/>
      <c r="I11" s="18"/>
      <c r="J11" s="18"/>
      <c r="K11" s="12"/>
      <c r="L11" s="12"/>
      <c r="M11" s="12"/>
      <c r="N11" s="15"/>
      <c r="O11" s="158"/>
    </row>
    <row r="12" spans="1:19" ht="13.5">
      <c r="A12" s="16"/>
      <c r="B12" s="30" t="s">
        <v>20</v>
      </c>
      <c r="C12" s="31">
        <f>'Data Entry'!C11</f>
        <v>10</v>
      </c>
      <c r="D12" s="18"/>
      <c r="E12" s="32"/>
      <c r="F12" s="70" t="s">
        <v>67</v>
      </c>
      <c r="G12" s="29" t="s">
        <v>7</v>
      </c>
      <c r="H12" s="264" t="s">
        <v>8</v>
      </c>
      <c r="I12" s="264"/>
      <c r="J12" s="264"/>
      <c r="K12" s="264"/>
      <c r="L12" s="264"/>
      <c r="M12" s="264"/>
      <c r="N12" s="265"/>
      <c r="O12" s="156"/>
      <c r="P12"/>
      <c r="Q12"/>
      <c r="R12"/>
      <c r="S12"/>
    </row>
    <row r="13" spans="1:19" ht="14.25" thickBot="1">
      <c r="A13" s="16"/>
      <c r="B13" s="33" t="s">
        <v>113</v>
      </c>
      <c r="C13" s="34"/>
      <c r="D13" s="18"/>
      <c r="E13" s="35" t="s">
        <v>9</v>
      </c>
      <c r="F13" s="73" t="s">
        <v>68</v>
      </c>
      <c r="G13" s="36" t="s">
        <v>10</v>
      </c>
      <c r="H13" s="228" t="s">
        <v>18</v>
      </c>
      <c r="I13" s="228"/>
      <c r="J13" s="228"/>
      <c r="K13" s="228"/>
      <c r="L13" s="228"/>
      <c r="M13" s="228"/>
      <c r="N13" s="229"/>
      <c r="O13" s="156"/>
      <c r="P13"/>
      <c r="Q13"/>
      <c r="R13"/>
      <c r="S13"/>
    </row>
    <row r="14" spans="1:19" ht="13.5">
      <c r="A14" s="16"/>
      <c r="B14" s="37" t="s">
        <v>115</v>
      </c>
      <c r="C14" s="57">
        <f>'Data Entry'!C13</f>
        <v>0.5</v>
      </c>
      <c r="D14" s="18"/>
      <c r="E14" s="39" t="s">
        <v>11</v>
      </c>
      <c r="F14" s="75" t="s">
        <v>12</v>
      </c>
      <c r="G14" s="40" t="s">
        <v>12</v>
      </c>
      <c r="H14" s="41">
        <f aca="true" t="shared" si="0" ref="H14:N14">H10/$C$11</f>
        <v>5.903333333333333</v>
      </c>
      <c r="I14" s="41">
        <f t="shared" si="0"/>
        <v>6.746666666666666</v>
      </c>
      <c r="J14" s="41">
        <f t="shared" si="0"/>
        <v>7.59</v>
      </c>
      <c r="K14" s="41">
        <f t="shared" si="0"/>
        <v>8.433333333333334</v>
      </c>
      <c r="L14" s="41">
        <f t="shared" si="0"/>
        <v>9.276666666666666</v>
      </c>
      <c r="M14" s="41">
        <f t="shared" si="0"/>
        <v>10.12</v>
      </c>
      <c r="N14" s="42">
        <f t="shared" si="0"/>
        <v>10.963333333333333</v>
      </c>
      <c r="O14" s="156"/>
      <c r="P14"/>
      <c r="Q14"/>
      <c r="R14"/>
      <c r="S14"/>
    </row>
    <row r="15" spans="1:19" ht="13.5">
      <c r="A15" s="16"/>
      <c r="B15" s="43" t="s">
        <v>28</v>
      </c>
      <c r="C15" s="34"/>
      <c r="D15" s="18"/>
      <c r="E15" s="44">
        <f>IF((E19-4*$C$12)&lt;0,0,(E19-4*$C$12))</f>
        <v>30</v>
      </c>
      <c r="F15" s="128">
        <f>G15+(-0.0013*($C$16)^2+0.4159*($C$16))+14.22</f>
        <v>34.494</v>
      </c>
      <c r="G15" s="128">
        <f>IF(((-0.0013*(E15+$C$16)^2+0.4159*(E15+$C$16))-(-0.0013*($C$16)^2+0.4159*($C$16)))&lt;0,0,(-0.0013*(E15+$C$16)^2+0.4159*(E15+$C$16))-(-0.0013*($C$16)^2+0.4159*($C$16)))</f>
        <v>8.967</v>
      </c>
      <c r="H15" s="137">
        <f>(H$10*$G15)-($C$11*($E15))</f>
        <v>13.597938735177866</v>
      </c>
      <c r="I15" s="137">
        <f aca="true" t="shared" si="1" ref="H15:N23">(I$10*$G15)-($C$11*($E15))</f>
        <v>18.081438735177866</v>
      </c>
      <c r="J15" s="137">
        <f t="shared" si="1"/>
        <v>22.564938735177865</v>
      </c>
      <c r="K15" s="137">
        <f t="shared" si="1"/>
        <v>27.048438735177864</v>
      </c>
      <c r="L15" s="137">
        <f t="shared" si="1"/>
        <v>31.531938735177864</v>
      </c>
      <c r="M15" s="137">
        <f t="shared" si="1"/>
        <v>36.01543873517787</v>
      </c>
      <c r="N15" s="138">
        <f t="shared" si="1"/>
        <v>40.49893873517787</v>
      </c>
      <c r="O15" s="156"/>
      <c r="P15"/>
      <c r="Q15"/>
      <c r="R15"/>
      <c r="S15"/>
    </row>
    <row r="16" spans="1:19" ht="13.5">
      <c r="A16" s="16"/>
      <c r="B16" s="37" t="s">
        <v>29</v>
      </c>
      <c r="C16" s="45">
        <f>'Data Entry'!C15</f>
        <v>30</v>
      </c>
      <c r="D16" s="18"/>
      <c r="E16" s="44">
        <f>IF((E20-4*$C$12)&lt;0,0,(E20-4*$C$12))</f>
        <v>40</v>
      </c>
      <c r="F16" s="128">
        <f aca="true" t="shared" si="2" ref="F16:F23">G16+(-0.0013*($C$16)^2+0.4159*($C$16))+14.22</f>
        <v>36.963</v>
      </c>
      <c r="G16" s="128">
        <f aca="true" t="shared" si="3" ref="G16:G23">IF(((-0.0013*(E16+$C$16)^2+0.4159*(E16+$C$16))-(-0.0013*($C$16)^2+0.4159*($C$16)))&lt;0,0,(-0.0013*(E16+$C$16)^2+0.4159*(E16+$C$16))-(-0.0013*($C$16)^2+0.4159*($C$16)))</f>
        <v>11.435999999999998</v>
      </c>
      <c r="H16" s="137">
        <f t="shared" si="1"/>
        <v>16.31058498023715</v>
      </c>
      <c r="I16" s="137">
        <f t="shared" si="1"/>
        <v>22.028584980237145</v>
      </c>
      <c r="J16" s="137">
        <f t="shared" si="1"/>
        <v>27.74658498023714</v>
      </c>
      <c r="K16" s="137">
        <f t="shared" si="1"/>
        <v>33.46458498023715</v>
      </c>
      <c r="L16" s="137">
        <f t="shared" si="1"/>
        <v>39.18258498023714</v>
      </c>
      <c r="M16" s="137">
        <f t="shared" si="1"/>
        <v>44.90058498023714</v>
      </c>
      <c r="N16" s="138">
        <f t="shared" si="1"/>
        <v>50.618584980237145</v>
      </c>
      <c r="O16" s="156"/>
      <c r="P16"/>
      <c r="Q16"/>
      <c r="R16"/>
      <c r="S16"/>
    </row>
    <row r="17" spans="1:19" ht="13.5">
      <c r="A17" s="16"/>
      <c r="B17" s="43" t="s">
        <v>30</v>
      </c>
      <c r="C17" s="46"/>
      <c r="D17" s="18"/>
      <c r="E17" s="44">
        <f>IF((E21-4*$C$12)&lt;0,0,(E21-4*$C$12))</f>
        <v>50</v>
      </c>
      <c r="F17" s="128">
        <f t="shared" si="2"/>
        <v>39.172</v>
      </c>
      <c r="G17" s="128">
        <f t="shared" si="3"/>
        <v>13.644999999999998</v>
      </c>
      <c r="H17" s="137">
        <f t="shared" si="1"/>
        <v>18.113231225296435</v>
      </c>
      <c r="I17" s="137">
        <f t="shared" si="1"/>
        <v>24.935731225296433</v>
      </c>
      <c r="J17" s="137">
        <f t="shared" si="1"/>
        <v>31.75823122529643</v>
      </c>
      <c r="K17" s="137">
        <f t="shared" si="1"/>
        <v>38.58073122529643</v>
      </c>
      <c r="L17" s="137">
        <f t="shared" si="1"/>
        <v>45.40323122529642</v>
      </c>
      <c r="M17" s="137">
        <f t="shared" si="1"/>
        <v>52.22573122529643</v>
      </c>
      <c r="N17" s="138">
        <f t="shared" si="1"/>
        <v>59.04823122529642</v>
      </c>
      <c r="O17" s="156"/>
      <c r="P17"/>
      <c r="Q17"/>
      <c r="R17"/>
      <c r="S17"/>
    </row>
    <row r="18" spans="1:19" ht="14.25" thickBot="1">
      <c r="A18" s="16"/>
      <c r="B18" s="17"/>
      <c r="C18" s="18"/>
      <c r="D18" s="18"/>
      <c r="E18" s="44">
        <f>IF((E22-4*$C$12)&lt;0,0,(E22-4*$C$12))</f>
        <v>60</v>
      </c>
      <c r="F18" s="128">
        <f t="shared" si="2"/>
        <v>41.120999999999995</v>
      </c>
      <c r="G18" s="128">
        <f t="shared" si="3"/>
        <v>15.593999999999996</v>
      </c>
      <c r="H18" s="137">
        <f t="shared" si="1"/>
        <v>19.005877470355713</v>
      </c>
      <c r="I18" s="137">
        <f t="shared" si="1"/>
        <v>26.80287747035571</v>
      </c>
      <c r="J18" s="137">
        <f t="shared" si="1"/>
        <v>34.599877470355715</v>
      </c>
      <c r="K18" s="137">
        <f t="shared" si="1"/>
        <v>42.39687747035571</v>
      </c>
      <c r="L18" s="137">
        <f t="shared" si="1"/>
        <v>50.19387747035571</v>
      </c>
      <c r="M18" s="137">
        <f t="shared" si="1"/>
        <v>57.990877470355706</v>
      </c>
      <c r="N18" s="138">
        <f t="shared" si="1"/>
        <v>65.78787747035571</v>
      </c>
      <c r="O18" s="156"/>
      <c r="P18"/>
      <c r="Q18"/>
      <c r="R18"/>
      <c r="S18"/>
    </row>
    <row r="19" spans="1:19" ht="14.25" thickBot="1">
      <c r="A19" s="16"/>
      <c r="B19" s="47"/>
      <c r="C19" s="48"/>
      <c r="D19" s="49" t="s">
        <v>13</v>
      </c>
      <c r="E19" s="50">
        <f>'Data Entry'!G9</f>
        <v>70</v>
      </c>
      <c r="F19" s="128">
        <f t="shared" si="2"/>
        <v>42.809999999999995</v>
      </c>
      <c r="G19" s="128">
        <f t="shared" si="3"/>
        <v>17.282999999999994</v>
      </c>
      <c r="H19" s="137">
        <f t="shared" si="1"/>
        <v>18.988523715415</v>
      </c>
      <c r="I19" s="137">
        <f t="shared" si="1"/>
        <v>27.630023715414993</v>
      </c>
      <c r="J19" s="137">
        <f t="shared" si="1"/>
        <v>36.271523715414986</v>
      </c>
      <c r="K19" s="137">
        <f t="shared" si="1"/>
        <v>44.91302371541498</v>
      </c>
      <c r="L19" s="137">
        <f t="shared" si="1"/>
        <v>53.55452371541499</v>
      </c>
      <c r="M19" s="137">
        <f t="shared" si="1"/>
        <v>62.19602371541498</v>
      </c>
      <c r="N19" s="138">
        <f t="shared" si="1"/>
        <v>70.83752371541497</v>
      </c>
      <c r="O19" s="156"/>
      <c r="P19"/>
      <c r="Q19"/>
      <c r="R19"/>
      <c r="S19"/>
    </row>
    <row r="20" spans="1:19" ht="13.5">
      <c r="A20" s="16"/>
      <c r="B20" s="17"/>
      <c r="C20" s="18"/>
      <c r="D20" s="18"/>
      <c r="E20" s="51">
        <f>E19+C12</f>
        <v>80</v>
      </c>
      <c r="F20" s="128">
        <f t="shared" si="2"/>
        <v>44.239000000000004</v>
      </c>
      <c r="G20" s="128">
        <f t="shared" si="3"/>
        <v>18.712000000000003</v>
      </c>
      <c r="H20" s="137">
        <f t="shared" si="1"/>
        <v>18.061169960474324</v>
      </c>
      <c r="I20" s="137">
        <f t="shared" si="1"/>
        <v>27.417169960474318</v>
      </c>
      <c r="J20" s="137">
        <f t="shared" si="1"/>
        <v>36.77316996047431</v>
      </c>
      <c r="K20" s="137">
        <f t="shared" si="1"/>
        <v>46.12916996047432</v>
      </c>
      <c r="L20" s="137">
        <f t="shared" si="1"/>
        <v>55.48516996047433</v>
      </c>
      <c r="M20" s="137">
        <f t="shared" si="1"/>
        <v>64.84116996047433</v>
      </c>
      <c r="N20" s="138">
        <f t="shared" si="1"/>
        <v>74.19716996047433</v>
      </c>
      <c r="O20" s="156"/>
      <c r="P20"/>
      <c r="Q20"/>
      <c r="R20"/>
      <c r="S20"/>
    </row>
    <row r="21" spans="1:19" ht="13.5">
      <c r="A21" s="16"/>
      <c r="B21" s="17"/>
      <c r="C21" s="52"/>
      <c r="D21" s="18"/>
      <c r="E21" s="51">
        <f>E19+2*C12</f>
        <v>90</v>
      </c>
      <c r="F21" s="128">
        <f t="shared" si="2"/>
        <v>45.408</v>
      </c>
      <c r="G21" s="128">
        <f t="shared" si="3"/>
        <v>19.881</v>
      </c>
      <c r="H21" s="137">
        <f t="shared" si="1"/>
        <v>16.223816205533595</v>
      </c>
      <c r="I21" s="137">
        <f t="shared" si="1"/>
        <v>26.164316205533595</v>
      </c>
      <c r="J21" s="137">
        <f t="shared" si="1"/>
        <v>36.104816205533595</v>
      </c>
      <c r="K21" s="137">
        <f t="shared" si="1"/>
        <v>46.045316205533595</v>
      </c>
      <c r="L21" s="137">
        <f t="shared" si="1"/>
        <v>55.985816205533595</v>
      </c>
      <c r="M21" s="137">
        <f t="shared" si="1"/>
        <v>65.9263162055336</v>
      </c>
      <c r="N21" s="138">
        <f t="shared" si="1"/>
        <v>75.86681620553358</v>
      </c>
      <c r="O21" s="156"/>
      <c r="P21"/>
      <c r="Q21"/>
      <c r="R21"/>
      <c r="S21"/>
    </row>
    <row r="22" spans="1:19" ht="13.5">
      <c r="A22" s="16"/>
      <c r="B22" s="17"/>
      <c r="C22" s="18"/>
      <c r="D22" s="18"/>
      <c r="E22" s="51">
        <f>E19+3*C12</f>
        <v>100</v>
      </c>
      <c r="F22" s="128">
        <f t="shared" si="2"/>
        <v>46.317</v>
      </c>
      <c r="G22" s="128">
        <f t="shared" si="3"/>
        <v>20.79</v>
      </c>
      <c r="H22" s="137">
        <f t="shared" si="1"/>
        <v>13.476462450592884</v>
      </c>
      <c r="I22" s="137">
        <f t="shared" si="1"/>
        <v>23.87146245059288</v>
      </c>
      <c r="J22" s="137">
        <f t="shared" si="1"/>
        <v>34.266462450592876</v>
      </c>
      <c r="K22" s="137">
        <f t="shared" si="1"/>
        <v>44.66146245059287</v>
      </c>
      <c r="L22" s="137">
        <f t="shared" si="1"/>
        <v>55.05646245059288</v>
      </c>
      <c r="M22" s="137">
        <f t="shared" si="1"/>
        <v>65.45146245059289</v>
      </c>
      <c r="N22" s="138">
        <f t="shared" si="1"/>
        <v>75.84646245059287</v>
      </c>
      <c r="O22" s="156"/>
      <c r="P22"/>
      <c r="Q22"/>
      <c r="R22"/>
      <c r="S22"/>
    </row>
    <row r="23" spans="1:19" ht="13.5">
      <c r="A23" s="16"/>
      <c r="B23" s="17"/>
      <c r="C23" s="18"/>
      <c r="D23" s="18"/>
      <c r="E23" s="51">
        <f>E19+4*C12</f>
        <v>110</v>
      </c>
      <c r="F23" s="128">
        <f t="shared" si="2"/>
        <v>46.965999999999994</v>
      </c>
      <c r="G23" s="128">
        <f t="shared" si="3"/>
        <v>21.438999999999993</v>
      </c>
      <c r="H23" s="137">
        <f t="shared" si="1"/>
        <v>9.819108695652147</v>
      </c>
      <c r="I23" s="137">
        <f t="shared" si="1"/>
        <v>20.538608695652144</v>
      </c>
      <c r="J23" s="137">
        <f t="shared" si="1"/>
        <v>31.25810869565214</v>
      </c>
      <c r="K23" s="137">
        <f t="shared" si="1"/>
        <v>41.97760869565214</v>
      </c>
      <c r="L23" s="137">
        <f t="shared" si="1"/>
        <v>52.69710869565213</v>
      </c>
      <c r="M23" s="137">
        <f t="shared" si="1"/>
        <v>63.41660869565213</v>
      </c>
      <c r="N23" s="138">
        <f t="shared" si="1"/>
        <v>74.13610869565211</v>
      </c>
      <c r="O23" s="156"/>
      <c r="P23"/>
      <c r="Q23"/>
      <c r="R23"/>
      <c r="S23"/>
    </row>
    <row r="24" spans="1:19" ht="13.5" customHeight="1">
      <c r="A24" s="16"/>
      <c r="B24" s="17"/>
      <c r="C24" s="18"/>
      <c r="D24" s="18"/>
      <c r="E24" s="276" t="s">
        <v>51</v>
      </c>
      <c r="F24" s="277"/>
      <c r="G24" s="277"/>
      <c r="H24" s="277"/>
      <c r="I24" s="277"/>
      <c r="J24" s="277"/>
      <c r="K24" s="277"/>
      <c r="L24" s="277"/>
      <c r="M24" s="277"/>
      <c r="N24" s="278"/>
      <c r="O24" s="156"/>
      <c r="P24"/>
      <c r="Q24"/>
      <c r="R24"/>
      <c r="S24"/>
    </row>
    <row r="25" spans="1:19" ht="9.75" customHeight="1">
      <c r="A25" s="16"/>
      <c r="B25" s="17"/>
      <c r="C25" s="18"/>
      <c r="D25" s="18"/>
      <c r="E25" s="266" t="s">
        <v>16</v>
      </c>
      <c r="F25" s="267"/>
      <c r="G25" s="267"/>
      <c r="H25" s="267"/>
      <c r="I25" s="267"/>
      <c r="J25" s="267"/>
      <c r="K25" s="267"/>
      <c r="L25" s="267"/>
      <c r="M25" s="267"/>
      <c r="N25" s="268"/>
      <c r="O25" s="156"/>
      <c r="P25"/>
      <c r="Q25"/>
      <c r="R25"/>
      <c r="S25"/>
    </row>
    <row r="26" spans="1:19" ht="9.75" customHeight="1">
      <c r="A26" s="16"/>
      <c r="B26" s="17"/>
      <c r="C26" s="18"/>
      <c r="D26" s="18"/>
      <c r="E26" s="266" t="s">
        <v>19</v>
      </c>
      <c r="F26" s="267"/>
      <c r="G26" s="267"/>
      <c r="H26" s="267"/>
      <c r="I26" s="267"/>
      <c r="J26" s="267"/>
      <c r="K26" s="267"/>
      <c r="L26" s="267"/>
      <c r="M26" s="267"/>
      <c r="N26" s="268"/>
      <c r="O26" s="156"/>
      <c r="P26"/>
      <c r="Q26"/>
      <c r="R26"/>
      <c r="S26"/>
    </row>
    <row r="27" spans="1:19" ht="11.25" customHeight="1">
      <c r="A27" s="16"/>
      <c r="B27" s="17"/>
      <c r="C27" s="18"/>
      <c r="D27" s="18"/>
      <c r="E27" s="245" t="s">
        <v>89</v>
      </c>
      <c r="F27" s="246"/>
      <c r="G27" s="246"/>
      <c r="H27" s="246"/>
      <c r="I27" s="246"/>
      <c r="J27" s="246"/>
      <c r="K27" s="247"/>
      <c r="L27" s="247"/>
      <c r="M27" s="247"/>
      <c r="N27" s="248"/>
      <c r="O27" s="156"/>
      <c r="P27"/>
      <c r="Q27"/>
      <c r="R27"/>
      <c r="S27"/>
    </row>
    <row r="28" spans="1:19" ht="12" customHeight="1" thickBot="1">
      <c r="A28" s="16"/>
      <c r="B28" s="17"/>
      <c r="C28" s="18"/>
      <c r="D28" s="18"/>
      <c r="E28" s="269" t="s">
        <v>38</v>
      </c>
      <c r="F28" s="270"/>
      <c r="G28" s="271"/>
      <c r="H28" s="271"/>
      <c r="I28" s="271"/>
      <c r="J28" s="271"/>
      <c r="K28" s="272"/>
      <c r="L28" s="272"/>
      <c r="M28" s="272"/>
      <c r="N28" s="273"/>
      <c r="O28" s="156"/>
      <c r="P28"/>
      <c r="Q28"/>
      <c r="R28"/>
      <c r="S28"/>
    </row>
    <row r="29" spans="1:19" ht="11.25" customHeight="1">
      <c r="A29" s="16"/>
      <c r="B29" s="17"/>
      <c r="C29" s="18"/>
      <c r="D29" s="18"/>
      <c r="E29" s="53"/>
      <c r="F29" s="53"/>
      <c r="G29" s="53"/>
      <c r="H29" s="53"/>
      <c r="I29" s="53"/>
      <c r="J29" s="53"/>
      <c r="K29" s="12"/>
      <c r="L29" s="12"/>
      <c r="M29" s="12"/>
      <c r="N29" s="15"/>
      <c r="O29" s="156"/>
      <c r="P29"/>
      <c r="Q29"/>
      <c r="R29"/>
      <c r="S29"/>
    </row>
    <row r="30" spans="2:19" ht="11.25" customHeight="1" thickBot="1">
      <c r="B30" s="224"/>
      <c r="C30" s="225"/>
      <c r="D30" s="225"/>
      <c r="E30" s="225"/>
      <c r="F30" s="225"/>
      <c r="G30" s="225"/>
      <c r="H30" s="225"/>
      <c r="I30" s="225"/>
      <c r="J30" s="225"/>
      <c r="K30" s="55"/>
      <c r="L30" s="55"/>
      <c r="M30" s="55"/>
      <c r="N30" s="56"/>
      <c r="O30" s="156"/>
      <c r="P30"/>
      <c r="Q30"/>
      <c r="R30"/>
      <c r="S30"/>
    </row>
    <row r="31" spans="2:19" ht="4.5" customHeight="1" thickBot="1">
      <c r="B31" s="193"/>
      <c r="C31" s="177"/>
      <c r="D31" s="177"/>
      <c r="E31" s="177"/>
      <c r="F31" s="177"/>
      <c r="G31" s="177"/>
      <c r="H31" s="177"/>
      <c r="I31" s="177"/>
      <c r="J31" s="177"/>
      <c r="K31" s="12"/>
      <c r="L31" s="12"/>
      <c r="M31" s="12"/>
      <c r="N31" s="15"/>
      <c r="O31" s="156"/>
      <c r="P31"/>
      <c r="Q31"/>
      <c r="R31"/>
      <c r="S31"/>
    </row>
    <row r="32" spans="1:15" ht="15.75" customHeight="1" thickBot="1">
      <c r="A32" s="16"/>
      <c r="B32" s="238" t="s">
        <v>39</v>
      </c>
      <c r="C32" s="239"/>
      <c r="E32" s="18"/>
      <c r="F32" s="18"/>
      <c r="G32" s="18"/>
      <c r="H32" s="18"/>
      <c r="I32" s="19"/>
      <c r="J32" s="18"/>
      <c r="K32" s="19"/>
      <c r="L32" s="12"/>
      <c r="M32" s="12"/>
      <c r="N32" s="15"/>
      <c r="O32" s="158"/>
    </row>
    <row r="33" spans="1:15" ht="15" customHeight="1">
      <c r="A33" s="16"/>
      <c r="B33" s="87" t="s">
        <v>1</v>
      </c>
      <c r="C33" s="21" t="str">
        <f>'Data Entry'!C7</f>
        <v>UREA</v>
      </c>
      <c r="D33" s="18"/>
      <c r="F33" s="22"/>
      <c r="G33" s="222" t="s">
        <v>108</v>
      </c>
      <c r="H33" s="23"/>
      <c r="I33" s="262" t="s">
        <v>17</v>
      </c>
      <c r="J33" s="263"/>
      <c r="K33" s="263"/>
      <c r="L33" s="263"/>
      <c r="M33" s="263"/>
      <c r="N33" s="24"/>
      <c r="O33" s="158"/>
    </row>
    <row r="34" spans="1:15" ht="13.5">
      <c r="A34" s="16"/>
      <c r="B34" s="20" t="s">
        <v>3</v>
      </c>
      <c r="C34" s="184">
        <f>'Data Entry'!C8</f>
        <v>600</v>
      </c>
      <c r="D34" s="18"/>
      <c r="F34" s="17"/>
      <c r="G34" s="223"/>
      <c r="H34" s="18"/>
      <c r="I34" s="19"/>
      <c r="J34" s="18"/>
      <c r="K34" s="19"/>
      <c r="L34" s="12"/>
      <c r="M34" s="12"/>
      <c r="N34" s="15"/>
      <c r="O34" s="158"/>
    </row>
    <row r="35" spans="1:15" ht="13.5">
      <c r="A35" s="16"/>
      <c r="B35" s="20" t="s">
        <v>4</v>
      </c>
      <c r="C35" s="25">
        <f>'Data Entry'!C9</f>
        <v>46</v>
      </c>
      <c r="D35" s="18"/>
      <c r="F35" s="17"/>
      <c r="G35" s="223"/>
      <c r="H35" s="26">
        <f>K35-C39*3</f>
        <v>3.5</v>
      </c>
      <c r="I35" s="26">
        <f>K35-C39*2</f>
        <v>4</v>
      </c>
      <c r="J35" s="26">
        <f>K35-C39</f>
        <v>4.5</v>
      </c>
      <c r="K35" s="27">
        <f>'Data Entry'!F14</f>
        <v>5</v>
      </c>
      <c r="L35" s="26">
        <f>K35+C39</f>
        <v>5.5</v>
      </c>
      <c r="M35" s="26">
        <f>K35+C39*2</f>
        <v>6</v>
      </c>
      <c r="N35" s="28">
        <f>K35+C39*3</f>
        <v>6.5</v>
      </c>
      <c r="O35" s="158"/>
    </row>
    <row r="36" spans="1:15" ht="13.5">
      <c r="A36" s="16"/>
      <c r="B36" s="20" t="s">
        <v>5</v>
      </c>
      <c r="C36" s="61">
        <f>(C34/((C35/100)*2200))</f>
        <v>0.5928853754940712</v>
      </c>
      <c r="D36" s="18"/>
      <c r="F36" s="17"/>
      <c r="G36" s="29" t="s">
        <v>6</v>
      </c>
      <c r="H36" s="18"/>
      <c r="I36" s="18"/>
      <c r="J36" s="18"/>
      <c r="K36" s="12"/>
      <c r="L36" s="12"/>
      <c r="M36" s="12"/>
      <c r="N36" s="15"/>
      <c r="O36" s="158"/>
    </row>
    <row r="37" spans="1:19" ht="13.5">
      <c r="A37" s="16"/>
      <c r="B37" s="30" t="s">
        <v>20</v>
      </c>
      <c r="C37" s="31">
        <f>'Data Entry'!C11</f>
        <v>10</v>
      </c>
      <c r="D37" s="18"/>
      <c r="F37" s="32"/>
      <c r="G37" s="70" t="s">
        <v>67</v>
      </c>
      <c r="H37" s="264" t="s">
        <v>8</v>
      </c>
      <c r="I37" s="264"/>
      <c r="J37" s="264"/>
      <c r="K37" s="264"/>
      <c r="L37" s="264"/>
      <c r="M37" s="264"/>
      <c r="N37" s="265"/>
      <c r="O37" s="156"/>
      <c r="P37"/>
      <c r="Q37"/>
      <c r="R37"/>
      <c r="S37"/>
    </row>
    <row r="38" spans="1:19" ht="14.25" thickBot="1">
      <c r="A38" s="16"/>
      <c r="B38" s="33" t="s">
        <v>113</v>
      </c>
      <c r="C38" s="34"/>
      <c r="D38" s="18"/>
      <c r="F38" s="35" t="s">
        <v>9</v>
      </c>
      <c r="G38" s="73" t="s">
        <v>68</v>
      </c>
      <c r="H38" s="228" t="s">
        <v>18</v>
      </c>
      <c r="I38" s="228"/>
      <c r="J38" s="228"/>
      <c r="K38" s="228"/>
      <c r="L38" s="228"/>
      <c r="M38" s="228"/>
      <c r="N38" s="229"/>
      <c r="O38" s="156"/>
      <c r="P38"/>
      <c r="Q38"/>
      <c r="R38"/>
      <c r="S38"/>
    </row>
    <row r="39" spans="1:19" ht="13.5">
      <c r="A39" s="16"/>
      <c r="B39" s="37" t="s">
        <v>115</v>
      </c>
      <c r="C39" s="57">
        <f>'Data Entry'!C13</f>
        <v>0.5</v>
      </c>
      <c r="D39" s="18"/>
      <c r="F39" s="39" t="s">
        <v>11</v>
      </c>
      <c r="G39" s="75" t="s">
        <v>12</v>
      </c>
      <c r="H39" s="41">
        <f aca="true" t="shared" si="4" ref="H39:N39">H35/$C$11</f>
        <v>5.903333333333333</v>
      </c>
      <c r="I39" s="41">
        <f t="shared" si="4"/>
        <v>6.746666666666666</v>
      </c>
      <c r="J39" s="41">
        <f t="shared" si="4"/>
        <v>7.59</v>
      </c>
      <c r="K39" s="41">
        <f t="shared" si="4"/>
        <v>8.433333333333334</v>
      </c>
      <c r="L39" s="41">
        <f t="shared" si="4"/>
        <v>9.276666666666666</v>
      </c>
      <c r="M39" s="41">
        <f t="shared" si="4"/>
        <v>10.12</v>
      </c>
      <c r="N39" s="42">
        <f t="shared" si="4"/>
        <v>10.963333333333333</v>
      </c>
      <c r="O39" s="156"/>
      <c r="P39"/>
      <c r="Q39"/>
      <c r="R39"/>
      <c r="S39"/>
    </row>
    <row r="40" spans="1:19" ht="13.5">
      <c r="A40" s="16"/>
      <c r="B40" s="43" t="s">
        <v>28</v>
      </c>
      <c r="C40" s="34"/>
      <c r="D40" s="18"/>
      <c r="F40" s="44">
        <f>IF((F44-4*$C$12)&lt;0,0,(F44-4*$C$12))</f>
        <v>30</v>
      </c>
      <c r="G40" s="128">
        <f>G15+(-0.0013*($C$16)^2+0.4159*($C$16))+14.22</f>
        <v>34.494</v>
      </c>
      <c r="H40" s="137">
        <f aca="true" t="shared" si="5" ref="H40:N40">(H$10*$G40)-($C$11*($F40))</f>
        <v>102.94243873517786</v>
      </c>
      <c r="I40" s="137">
        <f t="shared" si="5"/>
        <v>120.18943873517786</v>
      </c>
      <c r="J40" s="137">
        <f t="shared" si="5"/>
        <v>137.4364387351779</v>
      </c>
      <c r="K40" s="137">
        <f t="shared" si="5"/>
        <v>154.68343873517787</v>
      </c>
      <c r="L40" s="137">
        <f t="shared" si="5"/>
        <v>171.93043873517786</v>
      </c>
      <c r="M40" s="137">
        <f t="shared" si="5"/>
        <v>189.17743873517787</v>
      </c>
      <c r="N40" s="138">
        <f t="shared" si="5"/>
        <v>206.4244387351779</v>
      </c>
      <c r="O40" s="156"/>
      <c r="P40"/>
      <c r="Q40"/>
      <c r="R40"/>
      <c r="S40"/>
    </row>
    <row r="41" spans="1:19" ht="13.5">
      <c r="A41" s="16"/>
      <c r="B41" s="37" t="s">
        <v>29</v>
      </c>
      <c r="C41" s="45">
        <f>'Data Entry'!C15</f>
        <v>30</v>
      </c>
      <c r="D41" s="18"/>
      <c r="F41" s="44">
        <f>IF((F45-4*$C$12)&lt;0,0,(F45-4*$C$12))</f>
        <v>40</v>
      </c>
      <c r="G41" s="128">
        <f aca="true" t="shared" si="6" ref="G41:G48">G16+(-0.0013*($C$16)^2+0.4159*($C$16))+14.22</f>
        <v>36.963</v>
      </c>
      <c r="H41" s="137">
        <f aca="true" t="shared" si="7" ref="H41:N48">(H$10*$G41)-($C$11*($F41))</f>
        <v>105.65508498023715</v>
      </c>
      <c r="I41" s="137">
        <f t="shared" si="7"/>
        <v>124.13658498023716</v>
      </c>
      <c r="J41" s="137">
        <f t="shared" si="7"/>
        <v>142.61808498023717</v>
      </c>
      <c r="K41" s="137">
        <f t="shared" si="7"/>
        <v>161.09958498023715</v>
      </c>
      <c r="L41" s="137">
        <f t="shared" si="7"/>
        <v>179.58108498023716</v>
      </c>
      <c r="M41" s="137">
        <f t="shared" si="7"/>
        <v>198.06258498023718</v>
      </c>
      <c r="N41" s="138">
        <f t="shared" si="7"/>
        <v>216.54408498023716</v>
      </c>
      <c r="O41" s="156"/>
      <c r="P41"/>
      <c r="Q41"/>
      <c r="R41"/>
      <c r="S41"/>
    </row>
    <row r="42" spans="1:19" ht="13.5">
      <c r="A42" s="16"/>
      <c r="B42" s="43" t="s">
        <v>30</v>
      </c>
      <c r="C42" s="46"/>
      <c r="D42" s="18"/>
      <c r="F42" s="44">
        <f>IF((F46-4*$C$12)&lt;0,0,(F46-4*$C$12))</f>
        <v>50</v>
      </c>
      <c r="G42" s="128">
        <f t="shared" si="6"/>
        <v>39.172</v>
      </c>
      <c r="H42" s="137">
        <f t="shared" si="7"/>
        <v>107.45773122529641</v>
      </c>
      <c r="I42" s="137">
        <f t="shared" si="7"/>
        <v>127.04373122529643</v>
      </c>
      <c r="J42" s="137">
        <f t="shared" si="7"/>
        <v>146.62973122529644</v>
      </c>
      <c r="K42" s="137">
        <f t="shared" si="7"/>
        <v>166.21573122529642</v>
      </c>
      <c r="L42" s="137">
        <f t="shared" si="7"/>
        <v>185.8017312252964</v>
      </c>
      <c r="M42" s="137">
        <f t="shared" si="7"/>
        <v>205.38773122529642</v>
      </c>
      <c r="N42" s="138">
        <f t="shared" si="7"/>
        <v>224.97373122529643</v>
      </c>
      <c r="O42" s="156"/>
      <c r="P42"/>
      <c r="Q42"/>
      <c r="R42"/>
      <c r="S42"/>
    </row>
    <row r="43" spans="1:19" ht="14.25" thickBot="1">
      <c r="A43" s="16"/>
      <c r="B43" s="17"/>
      <c r="C43" s="18"/>
      <c r="D43" s="18"/>
      <c r="F43" s="44">
        <f>IF((F47-4*$C$12)&lt;0,0,(F47-4*$C$12))</f>
        <v>60</v>
      </c>
      <c r="G43" s="128">
        <f t="shared" si="6"/>
        <v>41.120999999999995</v>
      </c>
      <c r="H43" s="137">
        <f t="shared" si="7"/>
        <v>108.35037747035571</v>
      </c>
      <c r="I43" s="137">
        <f t="shared" si="7"/>
        <v>128.9108774703557</v>
      </c>
      <c r="J43" s="137">
        <f t="shared" si="7"/>
        <v>149.4713774703557</v>
      </c>
      <c r="K43" s="137">
        <f t="shared" si="7"/>
        <v>170.03187747035568</v>
      </c>
      <c r="L43" s="137">
        <f t="shared" si="7"/>
        <v>190.5923774703557</v>
      </c>
      <c r="M43" s="137">
        <f t="shared" si="7"/>
        <v>211.1528774703557</v>
      </c>
      <c r="N43" s="138">
        <f t="shared" si="7"/>
        <v>231.7133774703557</v>
      </c>
      <c r="O43" s="156"/>
      <c r="P43"/>
      <c r="Q43"/>
      <c r="R43"/>
      <c r="S43"/>
    </row>
    <row r="44" spans="1:19" ht="14.25" thickBot="1">
      <c r="A44" s="16"/>
      <c r="B44" s="47"/>
      <c r="C44" s="48"/>
      <c r="E44" s="49" t="s">
        <v>13</v>
      </c>
      <c r="F44" s="50">
        <f>'Data Entry'!G9</f>
        <v>70</v>
      </c>
      <c r="G44" s="128">
        <f t="shared" si="6"/>
        <v>42.809999999999995</v>
      </c>
      <c r="H44" s="137">
        <f>(H$10*$G44)-($C$11*($F44))</f>
        <v>108.333023715415</v>
      </c>
      <c r="I44" s="137">
        <f t="shared" si="7"/>
        <v>129.738023715415</v>
      </c>
      <c r="J44" s="137">
        <f t="shared" si="7"/>
        <v>151.14302371541498</v>
      </c>
      <c r="K44" s="137">
        <f t="shared" si="7"/>
        <v>172.548023715415</v>
      </c>
      <c r="L44" s="137">
        <f t="shared" si="7"/>
        <v>193.953023715415</v>
      </c>
      <c r="M44" s="137">
        <f t="shared" si="7"/>
        <v>215.35802371541496</v>
      </c>
      <c r="N44" s="138">
        <f t="shared" si="7"/>
        <v>236.763023715415</v>
      </c>
      <c r="O44" s="156"/>
      <c r="P44"/>
      <c r="Q44"/>
      <c r="R44"/>
      <c r="S44"/>
    </row>
    <row r="45" spans="1:19" ht="13.5">
      <c r="A45" s="16"/>
      <c r="B45" s="17"/>
      <c r="C45" s="18"/>
      <c r="D45" s="18"/>
      <c r="F45" s="51">
        <f>F44+C37</f>
        <v>80</v>
      </c>
      <c r="G45" s="128">
        <f t="shared" si="6"/>
        <v>44.239000000000004</v>
      </c>
      <c r="H45" s="137">
        <f t="shared" si="7"/>
        <v>107.40566996047431</v>
      </c>
      <c r="I45" s="137">
        <f t="shared" si="7"/>
        <v>129.52516996047433</v>
      </c>
      <c r="J45" s="137">
        <f t="shared" si="7"/>
        <v>151.64466996047435</v>
      </c>
      <c r="K45" s="137">
        <f t="shared" si="7"/>
        <v>173.76416996047433</v>
      </c>
      <c r="L45" s="137">
        <f t="shared" si="7"/>
        <v>195.88366996047432</v>
      </c>
      <c r="M45" s="137">
        <f t="shared" si="7"/>
        <v>218.00316996047434</v>
      </c>
      <c r="N45" s="138">
        <f t="shared" si="7"/>
        <v>240.12266996047435</v>
      </c>
      <c r="O45" s="156"/>
      <c r="P45"/>
      <c r="Q45"/>
      <c r="R45"/>
      <c r="S45"/>
    </row>
    <row r="46" spans="1:19" ht="13.5">
      <c r="A46" s="16"/>
      <c r="B46" s="17"/>
      <c r="C46" s="52"/>
      <c r="D46" s="18"/>
      <c r="F46" s="51">
        <f>F44+2*C37</f>
        <v>90</v>
      </c>
      <c r="G46" s="128">
        <f t="shared" si="6"/>
        <v>45.408</v>
      </c>
      <c r="H46" s="137">
        <f>(H$10*$G46)-($C$11*($F46))</f>
        <v>105.56831620553359</v>
      </c>
      <c r="I46" s="137">
        <f t="shared" si="7"/>
        <v>128.2723162055336</v>
      </c>
      <c r="J46" s="137">
        <f t="shared" si="7"/>
        <v>150.9763162055336</v>
      </c>
      <c r="K46" s="137">
        <f t="shared" si="7"/>
        <v>173.68031620553361</v>
      </c>
      <c r="L46" s="137">
        <f t="shared" si="7"/>
        <v>196.3843162055336</v>
      </c>
      <c r="M46" s="137">
        <f t="shared" si="7"/>
        <v>219.08831620553357</v>
      </c>
      <c r="N46" s="138">
        <f t="shared" si="7"/>
        <v>241.79231620553358</v>
      </c>
      <c r="O46" s="156"/>
      <c r="P46"/>
      <c r="Q46"/>
      <c r="R46"/>
      <c r="S46"/>
    </row>
    <row r="47" spans="1:19" ht="13.5">
      <c r="A47" s="16"/>
      <c r="B47" s="17"/>
      <c r="C47" s="18"/>
      <c r="D47" s="18"/>
      <c r="F47" s="51">
        <f>F44+3*C37</f>
        <v>100</v>
      </c>
      <c r="G47" s="128">
        <f t="shared" si="6"/>
        <v>46.317</v>
      </c>
      <c r="H47" s="137">
        <f t="shared" si="7"/>
        <v>102.82096245059287</v>
      </c>
      <c r="I47" s="137">
        <f t="shared" si="7"/>
        <v>125.97946245059288</v>
      </c>
      <c r="J47" s="137">
        <f t="shared" si="7"/>
        <v>149.13796245059288</v>
      </c>
      <c r="K47" s="137">
        <f t="shared" si="7"/>
        <v>172.29646245059288</v>
      </c>
      <c r="L47" s="137">
        <f t="shared" si="7"/>
        <v>195.4549624505929</v>
      </c>
      <c r="M47" s="137">
        <f t="shared" si="7"/>
        <v>218.61346245059286</v>
      </c>
      <c r="N47" s="138">
        <f t="shared" si="7"/>
        <v>241.77196245059287</v>
      </c>
      <c r="O47" s="156"/>
      <c r="P47"/>
      <c r="Q47"/>
      <c r="R47"/>
      <c r="S47"/>
    </row>
    <row r="48" spans="1:19" ht="13.5">
      <c r="A48" s="16"/>
      <c r="B48" s="17"/>
      <c r="C48" s="18"/>
      <c r="D48" s="18"/>
      <c r="F48" s="51">
        <f>F44+4*C37</f>
        <v>110</v>
      </c>
      <c r="G48" s="128">
        <f t="shared" si="6"/>
        <v>46.965999999999994</v>
      </c>
      <c r="H48" s="137">
        <f t="shared" si="7"/>
        <v>99.16360869565214</v>
      </c>
      <c r="I48" s="137">
        <f t="shared" si="7"/>
        <v>122.64660869565215</v>
      </c>
      <c r="J48" s="137">
        <f t="shared" si="7"/>
        <v>146.12960869565217</v>
      </c>
      <c r="K48" s="137">
        <f t="shared" si="7"/>
        <v>169.61260869565217</v>
      </c>
      <c r="L48" s="137">
        <f t="shared" si="7"/>
        <v>193.09560869565217</v>
      </c>
      <c r="M48" s="137">
        <f t="shared" si="7"/>
        <v>216.57860869565212</v>
      </c>
      <c r="N48" s="138">
        <f t="shared" si="7"/>
        <v>240.06160869565213</v>
      </c>
      <c r="O48" s="156"/>
      <c r="P48"/>
      <c r="Q48"/>
      <c r="R48"/>
      <c r="S48"/>
    </row>
    <row r="49" spans="1:19" ht="13.5" customHeight="1">
      <c r="A49" s="16"/>
      <c r="B49" s="17"/>
      <c r="C49" s="18"/>
      <c r="D49" s="18"/>
      <c r="F49" s="185" t="s">
        <v>51</v>
      </c>
      <c r="G49" s="178"/>
      <c r="H49" s="178"/>
      <c r="I49" s="178"/>
      <c r="J49" s="178"/>
      <c r="K49" s="178"/>
      <c r="L49" s="178"/>
      <c r="M49" s="178"/>
      <c r="N49" s="179"/>
      <c r="O49" s="156"/>
      <c r="P49"/>
      <c r="Q49"/>
      <c r="R49"/>
      <c r="S49"/>
    </row>
    <row r="50" spans="1:19" ht="9.75" customHeight="1">
      <c r="A50" s="16"/>
      <c r="B50" s="17"/>
      <c r="C50" s="18"/>
      <c r="D50" s="18"/>
      <c r="F50" s="188" t="s">
        <v>16</v>
      </c>
      <c r="G50" s="180"/>
      <c r="H50" s="180"/>
      <c r="I50" s="180"/>
      <c r="J50" s="180"/>
      <c r="K50" s="180"/>
      <c r="L50" s="180"/>
      <c r="M50" s="180"/>
      <c r="N50" s="181"/>
      <c r="O50" s="156"/>
      <c r="P50"/>
      <c r="Q50"/>
      <c r="R50"/>
      <c r="S50"/>
    </row>
    <row r="51" spans="1:19" ht="9.75" customHeight="1">
      <c r="A51" s="16"/>
      <c r="B51" s="17"/>
      <c r="C51" s="18"/>
      <c r="D51" s="18"/>
      <c r="F51" s="188" t="s">
        <v>105</v>
      </c>
      <c r="G51" s="180"/>
      <c r="H51" s="180"/>
      <c r="I51" s="180"/>
      <c r="J51" s="180"/>
      <c r="K51" s="180"/>
      <c r="L51" s="180"/>
      <c r="M51" s="180"/>
      <c r="N51" s="181"/>
      <c r="O51" s="156"/>
      <c r="P51"/>
      <c r="Q51"/>
      <c r="R51"/>
      <c r="S51"/>
    </row>
    <row r="52" spans="1:19" ht="11.25" customHeight="1">
      <c r="A52" s="16"/>
      <c r="B52" s="17"/>
      <c r="C52" s="18"/>
      <c r="D52" s="18"/>
      <c r="F52" s="79" t="s">
        <v>89</v>
      </c>
      <c r="G52" s="80"/>
      <c r="H52" s="80"/>
      <c r="I52" s="80"/>
      <c r="J52" s="80"/>
      <c r="K52" s="132"/>
      <c r="L52" s="132"/>
      <c r="M52" s="132"/>
      <c r="N52" s="171"/>
      <c r="O52" s="156"/>
      <c r="P52"/>
      <c r="Q52"/>
      <c r="R52"/>
      <c r="S52"/>
    </row>
    <row r="53" spans="1:19" ht="12" customHeight="1" thickBot="1">
      <c r="A53" s="16"/>
      <c r="B53" s="17"/>
      <c r="C53" s="18"/>
      <c r="D53" s="18"/>
      <c r="F53" s="191" t="s">
        <v>38</v>
      </c>
      <c r="G53" s="182"/>
      <c r="H53" s="183"/>
      <c r="I53" s="183"/>
      <c r="J53" s="183"/>
      <c r="K53" s="175"/>
      <c r="L53" s="175"/>
      <c r="M53" s="175"/>
      <c r="N53" s="176"/>
      <c r="O53" s="156"/>
      <c r="P53"/>
      <c r="Q53"/>
      <c r="R53"/>
      <c r="S53"/>
    </row>
    <row r="54" spans="1:19" ht="11.25" customHeight="1">
      <c r="A54" s="16"/>
      <c r="B54" s="17"/>
      <c r="C54" s="18"/>
      <c r="D54" s="18"/>
      <c r="E54" s="53"/>
      <c r="F54" s="53"/>
      <c r="G54" s="53"/>
      <c r="H54" s="53"/>
      <c r="I54" s="53"/>
      <c r="J54" s="53"/>
      <c r="K54" s="12"/>
      <c r="L54" s="12"/>
      <c r="M54" s="12"/>
      <c r="N54" s="15"/>
      <c r="O54" s="156"/>
      <c r="P54"/>
      <c r="Q54"/>
      <c r="R54"/>
      <c r="S54"/>
    </row>
    <row r="55" spans="2:19" ht="11.25" customHeight="1" thickBot="1">
      <c r="B55" s="224"/>
      <c r="C55" s="225"/>
      <c r="D55" s="225"/>
      <c r="E55" s="225"/>
      <c r="F55" s="225"/>
      <c r="G55" s="225"/>
      <c r="H55" s="225"/>
      <c r="I55" s="225"/>
      <c r="J55" s="225"/>
      <c r="K55" s="55"/>
      <c r="L55" s="55"/>
      <c r="M55" s="55"/>
      <c r="N55" s="56"/>
      <c r="O55" s="156"/>
      <c r="P55"/>
      <c r="Q55"/>
      <c r="R55"/>
      <c r="S55"/>
    </row>
    <row r="56" spans="15:19" ht="12.75">
      <c r="O56" s="156"/>
      <c r="P56"/>
      <c r="Q56"/>
      <c r="R56"/>
      <c r="S56"/>
    </row>
  </sheetData>
  <sheetProtection/>
  <mergeCells count="22">
    <mergeCell ref="O2:Q2"/>
    <mergeCell ref="O3:Q3"/>
    <mergeCell ref="E26:N26"/>
    <mergeCell ref="H12:N12"/>
    <mergeCell ref="H13:N13"/>
    <mergeCell ref="E24:N24"/>
    <mergeCell ref="B55:J55"/>
    <mergeCell ref="G8:G10"/>
    <mergeCell ref="G33:G35"/>
    <mergeCell ref="B32:C32"/>
    <mergeCell ref="I33:M33"/>
    <mergeCell ref="H37:N37"/>
    <mergeCell ref="I8:M8"/>
    <mergeCell ref="E25:N25"/>
    <mergeCell ref="E28:N28"/>
    <mergeCell ref="E27:N27"/>
    <mergeCell ref="H38:N38"/>
    <mergeCell ref="B30:J30"/>
    <mergeCell ref="B2:N2"/>
    <mergeCell ref="B3:N3"/>
    <mergeCell ref="B7:C7"/>
    <mergeCell ref="B5:E5"/>
  </mergeCells>
  <conditionalFormatting sqref="I15:I23">
    <cfRule type="cellIs" priority="1" dxfId="2" operator="equal" stopIfTrue="1">
      <formula>MAX($I$15:$I$23)</formula>
    </cfRule>
    <cfRule type="cellIs" priority="2" dxfId="0" operator="between" stopIfTrue="1">
      <formula>MAX($I$15:$I$23)</formula>
      <formula>MAX($I$15:$I$23)-1</formula>
    </cfRule>
    <cfRule type="cellIs" priority="3" dxfId="0" operator="between" stopIfTrue="1">
      <formula>MAX($I$15:$I$23)</formula>
      <formula>MAX($I$15:$I$23)+1</formula>
    </cfRule>
  </conditionalFormatting>
  <conditionalFormatting sqref="J15:J23">
    <cfRule type="cellIs" priority="4" dxfId="2" operator="equal" stopIfTrue="1">
      <formula>MAX($J$15:$J$23)</formula>
    </cfRule>
    <cfRule type="cellIs" priority="5" dxfId="0" operator="between" stopIfTrue="1">
      <formula>MAX($J$15:$J$23)</formula>
      <formula>MAX($J$15:$J$23)-1</formula>
    </cfRule>
    <cfRule type="cellIs" priority="6" dxfId="0" operator="between" stopIfTrue="1">
      <formula>MAX($J$15:$J$23)</formula>
      <formula>MAX($J$15:$J$23)+1</formula>
    </cfRule>
  </conditionalFormatting>
  <conditionalFormatting sqref="K15:K23">
    <cfRule type="cellIs" priority="7" dxfId="2" operator="equal" stopIfTrue="1">
      <formula>MAX($K$15:$K$23)</formula>
    </cfRule>
    <cfRule type="cellIs" priority="8" dxfId="0" operator="between" stopIfTrue="1">
      <formula>MAX($K$15:$K$23)</formula>
      <formula>MAX($K$15:$K$23)-1</formula>
    </cfRule>
    <cfRule type="cellIs" priority="9" dxfId="0" operator="between" stopIfTrue="1">
      <formula>MAX($K$15:$K$23)</formula>
      <formula>MAX($K$15:$K$23)+1</formula>
    </cfRule>
  </conditionalFormatting>
  <conditionalFormatting sqref="L15:L23">
    <cfRule type="cellIs" priority="10" dxfId="2" operator="equal" stopIfTrue="1">
      <formula>MAX($L$15:$L$23)</formula>
    </cfRule>
    <cfRule type="cellIs" priority="11" dxfId="0" operator="between" stopIfTrue="1">
      <formula>MAX($L$15:$L$23)</formula>
      <formula>MAX($L$15:$L$23)-1</formula>
    </cfRule>
    <cfRule type="cellIs" priority="12" dxfId="0" operator="between" stopIfTrue="1">
      <formula>MAX($L$15:$L$23)</formula>
      <formula>MAX($L$15:$L$23)+1</formula>
    </cfRule>
  </conditionalFormatting>
  <conditionalFormatting sqref="M15:M23">
    <cfRule type="cellIs" priority="13" dxfId="2" operator="equal" stopIfTrue="1">
      <formula>MAX($M$15:$M$23)</formula>
    </cfRule>
    <cfRule type="cellIs" priority="14" dxfId="0" operator="between" stopIfTrue="1">
      <formula>MAX($M$15:$M$23)</formula>
      <formula>MAX($M$15:$M$23)-1</formula>
    </cfRule>
    <cfRule type="cellIs" priority="15" dxfId="0" operator="between" stopIfTrue="1">
      <formula>MAX($M$15:$M$23)</formula>
      <formula>MAX($M$15:$M$23)+1</formula>
    </cfRule>
  </conditionalFormatting>
  <conditionalFormatting sqref="N15:N23">
    <cfRule type="cellIs" priority="16" dxfId="2" operator="equal" stopIfTrue="1">
      <formula>MAX($N$15:$N$23)</formula>
    </cfRule>
    <cfRule type="cellIs" priority="17" dxfId="0" operator="between" stopIfTrue="1">
      <formula>MAX($N$15:$N$23)</formula>
      <formula>MAX($N$15:$N$23)-1</formula>
    </cfRule>
    <cfRule type="cellIs" priority="18" dxfId="0" operator="between" stopIfTrue="1">
      <formula>MAX($N$15:$N$23)</formula>
      <formula>MAX($N$15:$N$23)+1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MAX($H$15:$H$23)+1</formula>
    </cfRule>
  </conditionalFormatting>
  <conditionalFormatting sqref="H40:H48">
    <cfRule type="cellIs" priority="22" dxfId="2" operator="equal" stopIfTrue="1">
      <formula>MAX($H$40:$H$48)</formula>
    </cfRule>
    <cfRule type="cellIs" priority="23" dxfId="0" operator="between" stopIfTrue="1">
      <formula>MAX($H$40:$H$48)</formula>
      <formula>MAX($H$40:$H$50)-1</formula>
    </cfRule>
    <cfRule type="cellIs" priority="24" dxfId="0" operator="between" stopIfTrue="1">
      <formula>MAX($H$40:$H$48)</formula>
      <formula>MAX($H$40:$H$50)+1</formula>
    </cfRule>
  </conditionalFormatting>
  <conditionalFormatting sqref="I40:I48">
    <cfRule type="cellIs" priority="25" dxfId="2" operator="equal" stopIfTrue="1">
      <formula>MAX($I$40:$I$48)</formula>
    </cfRule>
    <cfRule type="cellIs" priority="26" dxfId="0" operator="between" stopIfTrue="1">
      <formula>MAX($I$40:$I$48)</formula>
      <formula>MAX($I$40:$I$48)-1</formula>
    </cfRule>
    <cfRule type="cellIs" priority="27" dxfId="0" operator="between" stopIfTrue="1">
      <formula>MAX($I$40:$I$48)</formula>
      <formula>MAX($I$40:$I$48)+1</formula>
    </cfRule>
  </conditionalFormatting>
  <conditionalFormatting sqref="J40:J48">
    <cfRule type="cellIs" priority="28" dxfId="2" operator="equal" stopIfTrue="1">
      <formula>MAX($J$40:$J$48)</formula>
    </cfRule>
    <cfRule type="cellIs" priority="29" dxfId="0" operator="between" stopIfTrue="1">
      <formula>MAX($J$40:$J$48)</formula>
      <formula>MAX($J$40:$J$48)-1</formula>
    </cfRule>
    <cfRule type="cellIs" priority="30" dxfId="0" operator="between" stopIfTrue="1">
      <formula>MAX($J$40:$J$48)</formula>
      <formula>MAX($J$40:$J$48)+1</formula>
    </cfRule>
  </conditionalFormatting>
  <conditionalFormatting sqref="K40:K48">
    <cfRule type="cellIs" priority="31" dxfId="2" operator="equal" stopIfTrue="1">
      <formula>MAX($K$40:$K$48)</formula>
    </cfRule>
    <cfRule type="cellIs" priority="32" dxfId="0" operator="between" stopIfTrue="1">
      <formula>MAX($K$40:$K$48)</formula>
      <formula>MAX($K$40:$K$48)-1</formula>
    </cfRule>
    <cfRule type="cellIs" priority="33" dxfId="0" operator="between" stopIfTrue="1">
      <formula>MAX($K$40:$K$48)</formula>
      <formula>MAX($K$40:$K$48)+1</formula>
    </cfRule>
  </conditionalFormatting>
  <conditionalFormatting sqref="L40:L48">
    <cfRule type="cellIs" priority="34" dxfId="2" operator="equal" stopIfTrue="1">
      <formula>MAX($L$40:$L$48)</formula>
    </cfRule>
    <cfRule type="cellIs" priority="35" dxfId="0" operator="between" stopIfTrue="1">
      <formula>MAX($L$40:$L$48)</formula>
      <formula>MAX($L$40:$L$48)-1</formula>
    </cfRule>
    <cfRule type="cellIs" priority="36" dxfId="0" operator="between" stopIfTrue="1">
      <formula>MAX($L$40:$L$48)</formula>
      <formula>MAX($L$40:$L$48)+1</formula>
    </cfRule>
  </conditionalFormatting>
  <conditionalFormatting sqref="M40:M48">
    <cfRule type="cellIs" priority="37" dxfId="2" operator="equal" stopIfTrue="1">
      <formula>MAX($M$40:$M$48)</formula>
    </cfRule>
    <cfRule type="cellIs" priority="38" dxfId="0" operator="between" stopIfTrue="1">
      <formula>MAX($M$40:$M$48)</formula>
      <formula>MAX($M$40:$M$48)-1</formula>
    </cfRule>
    <cfRule type="cellIs" priority="39" dxfId="0" operator="between" stopIfTrue="1">
      <formula>MAX($M$40:$M$48)</formula>
      <formula>MAX($M$40:$M$48)+1</formula>
    </cfRule>
  </conditionalFormatting>
  <conditionalFormatting sqref="N40:N48">
    <cfRule type="cellIs" priority="40" dxfId="2" operator="equal" stopIfTrue="1">
      <formula>MAX($N$40:$N$48)</formula>
    </cfRule>
    <cfRule type="cellIs" priority="41" dxfId="0" operator="between" stopIfTrue="1">
      <formula>MAX($N$40:$N$48)</formula>
      <formula>MAX($N$40:$N$48)-1</formula>
    </cfRule>
    <cfRule type="cellIs" priority="42" dxfId="0" operator="between" stopIfTrue="1">
      <formula>MAX($N$40:$N$48)</formula>
      <formula>MAX($N$40:$N$48)+1</formula>
    </cfRule>
  </conditionalFormatting>
  <hyperlinks>
    <hyperlink ref="O2:Q2" location="'Wheat (Dry) MR'!A1" display="Go to Marginal Return Chart"/>
    <hyperlink ref="O3:Q3" location="'Wheat (Dry) Fertilizer'!A1" display="Go to Fertilizer as variable"/>
    <hyperlink ref="O5" location="'Data Entry'!A1" display="Return to Data Entry"/>
    <hyperlink ref="G8" location="'Wheat crop price'!D47" display="Go to Total Net Return"/>
    <hyperlink ref="G8:G10" location="'Wheat (Dry) Crop'!D53" display="Go to Total Net Return Below"/>
    <hyperlink ref="G33" location="'Wheat crop price'!D47" display="Go to Total Net Return"/>
    <hyperlink ref="G33:G35" location="'Wheat (Dry) Crop'!D1" display="Return to Net Return"/>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56"/>
  <sheetViews>
    <sheetView showGridLines="0" zoomScalePageLayoutView="0" workbookViewId="0" topLeftCell="A1">
      <selection activeCell="O3" sqref="O3:Q3"/>
    </sheetView>
  </sheetViews>
  <sheetFormatPr defaultColWidth="9.140625" defaultRowHeight="12.75"/>
  <cols>
    <col min="1" max="1" width="1.57421875" style="10" customWidth="1"/>
    <col min="2" max="2" width="17.140625" style="10" customWidth="1"/>
    <col min="3" max="3" width="9.140625" style="10" customWidth="1"/>
    <col min="4" max="4" width="11.140625" style="10" customWidth="1"/>
    <col min="5" max="5" width="9.140625" style="10" customWidth="1"/>
    <col min="6" max="6" width="9.421875" style="10" customWidth="1"/>
    <col min="7" max="7" width="13.57421875" style="10" customWidth="1"/>
    <col min="8" max="14" width="9.140625" style="10" customWidth="1"/>
    <col min="15" max="15" width="26.7109375" style="157" customWidth="1"/>
    <col min="16" max="16384" width="9.140625" style="10" customWidth="1"/>
  </cols>
  <sheetData>
    <row r="1" spans="2:10" ht="6" customHeight="1" thickBot="1">
      <c r="B1" s="11"/>
      <c r="C1" s="11"/>
      <c r="D1" s="11"/>
      <c r="E1" s="11"/>
      <c r="F1" s="11"/>
      <c r="G1" s="11"/>
      <c r="H1" s="11"/>
      <c r="I1" s="11"/>
      <c r="J1" s="11"/>
    </row>
    <row r="2" spans="1:17" ht="21">
      <c r="A2" s="11"/>
      <c r="B2" s="253" t="s">
        <v>40</v>
      </c>
      <c r="C2" s="254"/>
      <c r="D2" s="254"/>
      <c r="E2" s="254"/>
      <c r="F2" s="254"/>
      <c r="G2" s="254"/>
      <c r="H2" s="254"/>
      <c r="I2" s="254"/>
      <c r="J2" s="254"/>
      <c r="K2" s="254"/>
      <c r="L2" s="254"/>
      <c r="M2" s="254"/>
      <c r="N2" s="255"/>
      <c r="O2" s="274" t="s">
        <v>77</v>
      </c>
      <c r="P2" s="275"/>
      <c r="Q2" s="275"/>
    </row>
    <row r="3" spans="1:17" ht="21">
      <c r="A3" s="11"/>
      <c r="B3" s="256" t="s">
        <v>49</v>
      </c>
      <c r="C3" s="257"/>
      <c r="D3" s="257"/>
      <c r="E3" s="257"/>
      <c r="F3" s="257"/>
      <c r="G3" s="257"/>
      <c r="H3" s="257"/>
      <c r="I3" s="257"/>
      <c r="J3" s="257"/>
      <c r="K3" s="257"/>
      <c r="L3" s="257"/>
      <c r="M3" s="257"/>
      <c r="N3" s="258"/>
      <c r="O3" s="274" t="s">
        <v>76</v>
      </c>
      <c r="P3" s="275"/>
      <c r="Q3" s="275"/>
    </row>
    <row r="4" spans="1:17" ht="6.75" customHeight="1">
      <c r="A4" s="11"/>
      <c r="B4" s="13"/>
      <c r="C4" s="14"/>
      <c r="D4" s="14"/>
      <c r="E4" s="14"/>
      <c r="F4" s="14"/>
      <c r="G4" s="14"/>
      <c r="H4" s="14"/>
      <c r="I4" s="14"/>
      <c r="J4" s="14"/>
      <c r="K4" s="12"/>
      <c r="L4" s="12"/>
      <c r="M4" s="12"/>
      <c r="N4" s="15"/>
      <c r="O4" s="164"/>
      <c r="P4" s="162"/>
      <c r="Q4" s="162"/>
    </row>
    <row r="5" spans="2:17" ht="12.75">
      <c r="B5" s="259"/>
      <c r="C5" s="260"/>
      <c r="D5" s="260"/>
      <c r="E5" s="261"/>
      <c r="F5" s="11"/>
      <c r="I5" s="12"/>
      <c r="J5" s="12"/>
      <c r="K5" s="12"/>
      <c r="L5" s="12"/>
      <c r="M5" s="12"/>
      <c r="N5" s="15"/>
      <c r="O5" s="161" t="s">
        <v>100</v>
      </c>
      <c r="P5" s="162"/>
      <c r="Q5" s="162"/>
    </row>
    <row r="6" spans="1:17" ht="4.5" customHeight="1" thickBot="1">
      <c r="A6" s="16"/>
      <c r="B6" s="17"/>
      <c r="C6" s="18"/>
      <c r="D6" s="18"/>
      <c r="E6" s="18"/>
      <c r="F6" s="18"/>
      <c r="G6" s="18"/>
      <c r="H6" s="18"/>
      <c r="I6" s="18"/>
      <c r="J6" s="18"/>
      <c r="K6" s="12"/>
      <c r="L6" s="12"/>
      <c r="M6" s="12"/>
      <c r="N6" s="15"/>
      <c r="O6" s="164"/>
      <c r="P6" s="162"/>
      <c r="Q6" s="162"/>
    </row>
    <row r="7" spans="1:15" ht="15.75" customHeight="1" thickBot="1">
      <c r="A7" s="16"/>
      <c r="B7" s="238" t="s">
        <v>39</v>
      </c>
      <c r="C7" s="239"/>
      <c r="E7" s="18"/>
      <c r="F7" s="18"/>
      <c r="G7" s="18"/>
      <c r="H7" s="18"/>
      <c r="I7" s="19"/>
      <c r="J7" s="18"/>
      <c r="K7" s="19"/>
      <c r="L7" s="12"/>
      <c r="M7" s="12"/>
      <c r="N7" s="15"/>
      <c r="O7" s="158"/>
    </row>
    <row r="8" spans="1:15" ht="15" customHeight="1">
      <c r="A8" s="16"/>
      <c r="B8" s="87" t="s">
        <v>1</v>
      </c>
      <c r="C8" s="21" t="str">
        <f>'Data Entry'!C7</f>
        <v>UREA</v>
      </c>
      <c r="D8" s="18"/>
      <c r="E8" s="22"/>
      <c r="F8" s="63"/>
      <c r="G8" s="222" t="s">
        <v>106</v>
      </c>
      <c r="H8" s="23"/>
      <c r="I8" s="262" t="s">
        <v>17</v>
      </c>
      <c r="J8" s="263"/>
      <c r="K8" s="263"/>
      <c r="L8" s="263"/>
      <c r="M8" s="263"/>
      <c r="N8" s="24"/>
      <c r="O8" s="158"/>
    </row>
    <row r="9" spans="1:15" ht="13.5">
      <c r="A9" s="16"/>
      <c r="B9" s="20" t="s">
        <v>3</v>
      </c>
      <c r="C9" s="59">
        <f>'Data Entry'!C8</f>
        <v>600</v>
      </c>
      <c r="D9" s="18"/>
      <c r="E9" s="17"/>
      <c r="F9" s="66"/>
      <c r="G9" s="223"/>
      <c r="H9" s="18"/>
      <c r="I9" s="19"/>
      <c r="J9" s="18"/>
      <c r="K9" s="19"/>
      <c r="L9" s="12"/>
      <c r="M9" s="12"/>
      <c r="N9" s="15"/>
      <c r="O9" s="158"/>
    </row>
    <row r="10" spans="1:15" ht="13.5">
      <c r="A10" s="16"/>
      <c r="B10" s="20" t="s">
        <v>4</v>
      </c>
      <c r="C10" s="25">
        <f>'Data Entry'!C9</f>
        <v>46</v>
      </c>
      <c r="D10" s="18"/>
      <c r="E10" s="17"/>
      <c r="F10" s="66"/>
      <c r="G10" s="223"/>
      <c r="H10" s="26">
        <f>K10-C14*3</f>
        <v>3.5</v>
      </c>
      <c r="I10" s="26">
        <f>K10-C14*2</f>
        <v>4</v>
      </c>
      <c r="J10" s="26">
        <f>K10-C14</f>
        <v>4.5</v>
      </c>
      <c r="K10" s="27">
        <f>'Data Entry'!F14</f>
        <v>5</v>
      </c>
      <c r="L10" s="26">
        <f>K10+C14</f>
        <v>5.5</v>
      </c>
      <c r="M10" s="26">
        <f>K10+C14*2</f>
        <v>6</v>
      </c>
      <c r="N10" s="28">
        <f>K10+C14*3</f>
        <v>6.5</v>
      </c>
      <c r="O10" s="158"/>
    </row>
    <row r="11" spans="1:15" ht="13.5">
      <c r="A11" s="16"/>
      <c r="B11" s="20" t="s">
        <v>5</v>
      </c>
      <c r="C11" s="61">
        <f>(C9/((C10/100)*2200))</f>
        <v>0.5928853754940712</v>
      </c>
      <c r="D11" s="18"/>
      <c r="E11" s="17"/>
      <c r="F11" s="66"/>
      <c r="G11" s="29" t="s">
        <v>6</v>
      </c>
      <c r="H11" s="18"/>
      <c r="I11" s="18"/>
      <c r="J11" s="18"/>
      <c r="K11" s="12"/>
      <c r="L11" s="12"/>
      <c r="M11" s="12"/>
      <c r="N11" s="15"/>
      <c r="O11" s="158"/>
    </row>
    <row r="12" spans="1:15" ht="13.5">
      <c r="A12" s="16"/>
      <c r="B12" s="30" t="s">
        <v>20</v>
      </c>
      <c r="C12" s="31">
        <f>'Data Entry'!C11</f>
        <v>10</v>
      </c>
      <c r="D12" s="18"/>
      <c r="E12" s="32"/>
      <c r="F12" s="70" t="s">
        <v>67</v>
      </c>
      <c r="G12" s="29" t="s">
        <v>7</v>
      </c>
      <c r="H12" s="264" t="s">
        <v>8</v>
      </c>
      <c r="I12" s="264"/>
      <c r="J12" s="264"/>
      <c r="K12" s="264"/>
      <c r="L12" s="264"/>
      <c r="M12" s="264"/>
      <c r="N12" s="265"/>
      <c r="O12" s="158"/>
    </row>
    <row r="13" spans="1:19" ht="14.25" thickBot="1">
      <c r="A13" s="16"/>
      <c r="B13" s="33" t="s">
        <v>113</v>
      </c>
      <c r="C13" s="34"/>
      <c r="D13" s="18"/>
      <c r="E13" s="35" t="s">
        <v>9</v>
      </c>
      <c r="F13" s="73" t="s">
        <v>68</v>
      </c>
      <c r="G13" s="36" t="s">
        <v>10</v>
      </c>
      <c r="H13" s="228" t="s">
        <v>18</v>
      </c>
      <c r="I13" s="228"/>
      <c r="J13" s="228"/>
      <c r="K13" s="228"/>
      <c r="L13" s="228"/>
      <c r="M13" s="228"/>
      <c r="N13" s="229"/>
      <c r="O13" s="156"/>
      <c r="P13"/>
      <c r="Q13"/>
      <c r="R13"/>
      <c r="S13"/>
    </row>
    <row r="14" spans="1:19" ht="13.5">
      <c r="A14" s="16"/>
      <c r="B14" s="37" t="s">
        <v>115</v>
      </c>
      <c r="C14" s="57">
        <f>'Data Entry'!C13</f>
        <v>0.5</v>
      </c>
      <c r="D14" s="18"/>
      <c r="E14" s="39" t="s">
        <v>11</v>
      </c>
      <c r="F14" s="75" t="s">
        <v>12</v>
      </c>
      <c r="G14" s="40" t="s">
        <v>12</v>
      </c>
      <c r="H14" s="41">
        <f aca="true" t="shared" si="0" ref="H14:N14">H10/$C$11</f>
        <v>5.903333333333333</v>
      </c>
      <c r="I14" s="41">
        <f t="shared" si="0"/>
        <v>6.746666666666666</v>
      </c>
      <c r="J14" s="41">
        <f t="shared" si="0"/>
        <v>7.59</v>
      </c>
      <c r="K14" s="41">
        <f t="shared" si="0"/>
        <v>8.433333333333334</v>
      </c>
      <c r="L14" s="41">
        <f t="shared" si="0"/>
        <v>9.276666666666666</v>
      </c>
      <c r="M14" s="41">
        <f t="shared" si="0"/>
        <v>10.12</v>
      </c>
      <c r="N14" s="42">
        <f t="shared" si="0"/>
        <v>10.963333333333333</v>
      </c>
      <c r="O14" s="156"/>
      <c r="P14"/>
      <c r="Q14"/>
      <c r="R14"/>
      <c r="S14"/>
    </row>
    <row r="15" spans="1:19" ht="13.5">
      <c r="A15" s="16"/>
      <c r="B15" s="43" t="s">
        <v>28</v>
      </c>
      <c r="C15" s="34"/>
      <c r="D15" s="18"/>
      <c r="E15" s="44">
        <f>IF((E19-4*$C$12)&lt;0,0,(E19-4*$C$12))</f>
        <v>0</v>
      </c>
      <c r="F15" s="128">
        <f>G15+(-0.0038*($C$16)^2+0.5464*($C$16))+14.22</f>
        <v>27.192</v>
      </c>
      <c r="G15" s="128">
        <f>IF(((-0.0038*(E15+$C$16)^2+0.5464*(E15+$C$16))-(-0.0038*($C$16)^2+0.5464*($C$16)))&lt;0,0,(-0.0038*(E15+$C$16)^2+0.5464*(E15+$C$16))-(-0.0038*($C$16)^2+0.5464*($C$16)))</f>
        <v>0</v>
      </c>
      <c r="H15" s="137">
        <f aca="true" t="shared" si="1" ref="H15:N23">(H$10*$G15)-($C$11*($E15))</f>
        <v>0</v>
      </c>
      <c r="I15" s="137">
        <f t="shared" si="1"/>
        <v>0</v>
      </c>
      <c r="J15" s="137">
        <f t="shared" si="1"/>
        <v>0</v>
      </c>
      <c r="K15" s="137">
        <f t="shared" si="1"/>
        <v>0</v>
      </c>
      <c r="L15" s="137">
        <f t="shared" si="1"/>
        <v>0</v>
      </c>
      <c r="M15" s="137">
        <f t="shared" si="1"/>
        <v>0</v>
      </c>
      <c r="N15" s="138">
        <f t="shared" si="1"/>
        <v>0</v>
      </c>
      <c r="O15" s="156"/>
      <c r="P15"/>
      <c r="Q15"/>
      <c r="R15"/>
      <c r="S15"/>
    </row>
    <row r="16" spans="1:19" ht="13.5">
      <c r="A16" s="16"/>
      <c r="B16" s="37" t="s">
        <v>29</v>
      </c>
      <c r="C16" s="45">
        <f>'Data Entry'!C15</f>
        <v>30</v>
      </c>
      <c r="D16" s="18"/>
      <c r="E16" s="44">
        <f>IF((E20-4*$C$12)&lt;0,0,(E20-4*$C$12))</f>
        <v>10</v>
      </c>
      <c r="F16" s="128">
        <f aca="true" t="shared" si="2" ref="F16:F23">G16+(-0.0038*($C$16)^2+0.5464*($C$16))+14.22</f>
        <v>29.996000000000002</v>
      </c>
      <c r="G16" s="128">
        <f aca="true" t="shared" si="3" ref="G16:G23">IF(((-0.0038*(E16+$C$16)^2+0.5464*(E16+$C$16))-(-0.0038*($C$16)^2+0.5464*($C$16)))&lt;0,0,(-0.0038*(E16+$C$16)^2+0.5464*(E16+$C$16))-(-0.0038*($C$16)^2+0.5464*($C$16)))</f>
        <v>2.804000000000002</v>
      </c>
      <c r="H16" s="137">
        <f t="shared" si="1"/>
        <v>3.8851462450592953</v>
      </c>
      <c r="I16" s="137">
        <f t="shared" si="1"/>
        <v>5.287146245059296</v>
      </c>
      <c r="J16" s="137">
        <f t="shared" si="1"/>
        <v>6.689146245059297</v>
      </c>
      <c r="K16" s="137">
        <f t="shared" si="1"/>
        <v>8.0911462450593</v>
      </c>
      <c r="L16" s="137">
        <f t="shared" si="1"/>
        <v>9.4931462450593</v>
      </c>
      <c r="M16" s="137">
        <f t="shared" si="1"/>
        <v>10.895146245059301</v>
      </c>
      <c r="N16" s="138">
        <f t="shared" si="1"/>
        <v>12.297146245059302</v>
      </c>
      <c r="O16" s="156"/>
      <c r="P16"/>
      <c r="Q16"/>
      <c r="R16"/>
      <c r="S16"/>
    </row>
    <row r="17" spans="1:19" ht="13.5">
      <c r="A17" s="16"/>
      <c r="B17" s="43" t="s">
        <v>30</v>
      </c>
      <c r="C17" s="46"/>
      <c r="D17" s="18"/>
      <c r="E17" s="44">
        <f>IF((E21-4*$C$12)&lt;0,0,(E21-4*$C$12))</f>
        <v>20</v>
      </c>
      <c r="F17" s="128">
        <f t="shared" si="2"/>
        <v>32.04</v>
      </c>
      <c r="G17" s="128">
        <f t="shared" si="3"/>
        <v>4.848000000000001</v>
      </c>
      <c r="H17" s="137">
        <f t="shared" si="1"/>
        <v>5.11029249011858</v>
      </c>
      <c r="I17" s="137">
        <f t="shared" si="1"/>
        <v>7.534292490118579</v>
      </c>
      <c r="J17" s="137">
        <f t="shared" si="1"/>
        <v>9.958292490118579</v>
      </c>
      <c r="K17" s="137">
        <f t="shared" si="1"/>
        <v>12.382292490118578</v>
      </c>
      <c r="L17" s="137">
        <f t="shared" si="1"/>
        <v>14.806292490118581</v>
      </c>
      <c r="M17" s="137">
        <f t="shared" si="1"/>
        <v>17.23029249011858</v>
      </c>
      <c r="N17" s="138">
        <f t="shared" si="1"/>
        <v>19.65429249011858</v>
      </c>
      <c r="O17" s="156"/>
      <c r="P17"/>
      <c r="Q17"/>
      <c r="R17"/>
      <c r="S17"/>
    </row>
    <row r="18" spans="1:19" ht="14.25" thickBot="1">
      <c r="A18" s="16"/>
      <c r="B18" s="17"/>
      <c r="C18" s="18"/>
      <c r="D18" s="18"/>
      <c r="E18" s="44">
        <f>IF((E22-4*$C$12)&lt;0,0,(E22-4*$C$12))</f>
        <v>30</v>
      </c>
      <c r="F18" s="128">
        <f t="shared" si="2"/>
        <v>33.324</v>
      </c>
      <c r="G18" s="128">
        <f t="shared" si="3"/>
        <v>6.132</v>
      </c>
      <c r="H18" s="137">
        <f t="shared" si="1"/>
        <v>3.6754387351778632</v>
      </c>
      <c r="I18" s="137">
        <f t="shared" si="1"/>
        <v>6.741438735177862</v>
      </c>
      <c r="J18" s="137">
        <f t="shared" si="1"/>
        <v>9.807438735177861</v>
      </c>
      <c r="K18" s="137">
        <f t="shared" si="1"/>
        <v>12.87343873517786</v>
      </c>
      <c r="L18" s="137">
        <f t="shared" si="1"/>
        <v>15.939438735177863</v>
      </c>
      <c r="M18" s="137">
        <f t="shared" si="1"/>
        <v>19.005438735177865</v>
      </c>
      <c r="N18" s="138">
        <f t="shared" si="1"/>
        <v>22.07143873517786</v>
      </c>
      <c r="O18" s="156"/>
      <c r="P18"/>
      <c r="Q18"/>
      <c r="R18"/>
      <c r="S18"/>
    </row>
    <row r="19" spans="1:19" ht="14.25" thickBot="1">
      <c r="A19" s="16"/>
      <c r="B19" s="47"/>
      <c r="C19" s="48"/>
      <c r="D19" s="49" t="s">
        <v>13</v>
      </c>
      <c r="E19" s="50">
        <f>'Data Entry'!H9</f>
        <v>40</v>
      </c>
      <c r="F19" s="128">
        <f t="shared" si="2"/>
        <v>33.848</v>
      </c>
      <c r="G19" s="128">
        <f t="shared" si="3"/>
        <v>6.655999999999997</v>
      </c>
      <c r="H19" s="137">
        <f t="shared" si="1"/>
        <v>-0.4194150197628588</v>
      </c>
      <c r="I19" s="137">
        <f t="shared" si="1"/>
        <v>2.9085849802371406</v>
      </c>
      <c r="J19" s="137">
        <f t="shared" si="1"/>
        <v>6.23658498023714</v>
      </c>
      <c r="K19" s="137">
        <f t="shared" si="1"/>
        <v>9.56458498023714</v>
      </c>
      <c r="L19" s="137">
        <f t="shared" si="1"/>
        <v>12.892584980237135</v>
      </c>
      <c r="M19" s="137">
        <f t="shared" si="1"/>
        <v>16.22058498023713</v>
      </c>
      <c r="N19" s="138">
        <f t="shared" si="1"/>
        <v>19.548584980237134</v>
      </c>
      <c r="O19" s="156"/>
      <c r="P19"/>
      <c r="Q19"/>
      <c r="R19"/>
      <c r="S19"/>
    </row>
    <row r="20" spans="1:19" ht="13.5">
      <c r="A20" s="16"/>
      <c r="B20" s="17"/>
      <c r="C20" s="18"/>
      <c r="D20" s="18"/>
      <c r="E20" s="51">
        <f>E19+C12</f>
        <v>50</v>
      </c>
      <c r="F20" s="128">
        <f t="shared" si="2"/>
        <v>33.612</v>
      </c>
      <c r="G20" s="128">
        <f t="shared" si="3"/>
        <v>6.4200000000000035</v>
      </c>
      <c r="H20" s="137">
        <f t="shared" si="1"/>
        <v>-7.174268774703545</v>
      </c>
      <c r="I20" s="137">
        <f t="shared" si="1"/>
        <v>-3.9642687747035446</v>
      </c>
      <c r="J20" s="137">
        <f t="shared" si="1"/>
        <v>-0.7542687747035437</v>
      </c>
      <c r="K20" s="137">
        <f t="shared" si="1"/>
        <v>2.455731225296457</v>
      </c>
      <c r="L20" s="137">
        <f t="shared" si="1"/>
        <v>5.665731225296458</v>
      </c>
      <c r="M20" s="137">
        <f t="shared" si="1"/>
        <v>8.875731225296466</v>
      </c>
      <c r="N20" s="138">
        <f t="shared" si="1"/>
        <v>12.085731225296467</v>
      </c>
      <c r="O20" s="156"/>
      <c r="P20"/>
      <c r="Q20"/>
      <c r="R20"/>
      <c r="S20"/>
    </row>
    <row r="21" spans="1:19" ht="13.5">
      <c r="A21" s="16"/>
      <c r="B21" s="17"/>
      <c r="C21" s="52"/>
      <c r="D21" s="18"/>
      <c r="E21" s="51">
        <f>E19+2*C12</f>
        <v>60</v>
      </c>
      <c r="F21" s="128">
        <f t="shared" si="2"/>
        <v>32.616</v>
      </c>
      <c r="G21" s="128">
        <f t="shared" si="3"/>
        <v>5.424000000000001</v>
      </c>
      <c r="H21" s="137">
        <f t="shared" si="1"/>
        <v>-16.589122529644268</v>
      </c>
      <c r="I21" s="137">
        <f t="shared" si="1"/>
        <v>-13.877122529644268</v>
      </c>
      <c r="J21" s="137">
        <f t="shared" si="1"/>
        <v>-11.165122529644268</v>
      </c>
      <c r="K21" s="137">
        <f t="shared" si="1"/>
        <v>-8.453122529644268</v>
      </c>
      <c r="L21" s="137">
        <f t="shared" si="1"/>
        <v>-5.741122529644265</v>
      </c>
      <c r="M21" s="137">
        <f t="shared" si="1"/>
        <v>-3.029122529644262</v>
      </c>
      <c r="N21" s="138">
        <f t="shared" si="1"/>
        <v>-0.3171225296442657</v>
      </c>
      <c r="O21" s="156"/>
      <c r="P21"/>
      <c r="Q21"/>
      <c r="R21"/>
      <c r="S21"/>
    </row>
    <row r="22" spans="1:19" ht="13.5">
      <c r="A22" s="16"/>
      <c r="B22" s="17"/>
      <c r="C22" s="18"/>
      <c r="D22" s="18"/>
      <c r="E22" s="51">
        <f>E19+3*C12</f>
        <v>70</v>
      </c>
      <c r="F22" s="128">
        <f t="shared" si="2"/>
        <v>30.86</v>
      </c>
      <c r="G22" s="128">
        <f t="shared" si="3"/>
        <v>3.668000000000001</v>
      </c>
      <c r="H22" s="137">
        <f t="shared" si="1"/>
        <v>-28.66397628458498</v>
      </c>
      <c r="I22" s="137">
        <f t="shared" si="1"/>
        <v>-26.82997628458498</v>
      </c>
      <c r="J22" s="137">
        <f t="shared" si="1"/>
        <v>-24.99597628458498</v>
      </c>
      <c r="K22" s="137">
        <f t="shared" si="1"/>
        <v>-23.16197628458498</v>
      </c>
      <c r="L22" s="137">
        <f t="shared" si="1"/>
        <v>-21.327976284584977</v>
      </c>
      <c r="M22" s="137">
        <f t="shared" si="1"/>
        <v>-19.493976284584978</v>
      </c>
      <c r="N22" s="138">
        <f t="shared" si="1"/>
        <v>-17.659976284584978</v>
      </c>
      <c r="O22" s="156"/>
      <c r="P22"/>
      <c r="Q22"/>
      <c r="R22"/>
      <c r="S22"/>
    </row>
    <row r="23" spans="1:19" ht="13.5">
      <c r="A23" s="16"/>
      <c r="B23" s="17"/>
      <c r="C23" s="18"/>
      <c r="D23" s="18"/>
      <c r="E23" s="51">
        <f>E19+4*C12</f>
        <v>80</v>
      </c>
      <c r="F23" s="128">
        <f t="shared" si="2"/>
        <v>28.344</v>
      </c>
      <c r="G23" s="128">
        <f t="shared" si="3"/>
        <v>1.1520000000000028</v>
      </c>
      <c r="H23" s="137">
        <f t="shared" si="1"/>
        <v>-43.398830039525684</v>
      </c>
      <c r="I23" s="137">
        <f t="shared" si="1"/>
        <v>-42.822830039525684</v>
      </c>
      <c r="J23" s="137">
        <f t="shared" si="1"/>
        <v>-42.24683003952568</v>
      </c>
      <c r="K23" s="137">
        <f t="shared" si="1"/>
        <v>-41.67083003952568</v>
      </c>
      <c r="L23" s="137">
        <f t="shared" si="1"/>
        <v>-41.09483003952568</v>
      </c>
      <c r="M23" s="137">
        <f t="shared" si="1"/>
        <v>-40.51883003952568</v>
      </c>
      <c r="N23" s="138">
        <f t="shared" si="1"/>
        <v>-39.942830039525674</v>
      </c>
      <c r="O23" s="156"/>
      <c r="P23"/>
      <c r="Q23"/>
      <c r="R23"/>
      <c r="S23"/>
    </row>
    <row r="24" spans="1:19" ht="13.5" customHeight="1">
      <c r="A24" s="16"/>
      <c r="B24" s="17"/>
      <c r="C24" s="18"/>
      <c r="D24" s="18"/>
      <c r="E24" s="276" t="s">
        <v>52</v>
      </c>
      <c r="F24" s="277"/>
      <c r="G24" s="277"/>
      <c r="H24" s="277"/>
      <c r="I24" s="277"/>
      <c r="J24" s="277"/>
      <c r="K24" s="277"/>
      <c r="L24" s="277"/>
      <c r="M24" s="277"/>
      <c r="N24" s="278"/>
      <c r="O24" s="156"/>
      <c r="P24"/>
      <c r="Q24"/>
      <c r="R24"/>
      <c r="S24"/>
    </row>
    <row r="25" spans="1:19" ht="9.75" customHeight="1">
      <c r="A25" s="16"/>
      <c r="B25" s="17"/>
      <c r="C25" s="18"/>
      <c r="D25" s="18"/>
      <c r="E25" s="266" t="s">
        <v>16</v>
      </c>
      <c r="F25" s="267"/>
      <c r="G25" s="267"/>
      <c r="H25" s="267"/>
      <c r="I25" s="267"/>
      <c r="J25" s="267"/>
      <c r="K25" s="267"/>
      <c r="L25" s="267"/>
      <c r="M25" s="267"/>
      <c r="N25" s="268"/>
      <c r="O25" s="156"/>
      <c r="P25"/>
      <c r="Q25"/>
      <c r="R25"/>
      <c r="S25"/>
    </row>
    <row r="26" spans="1:19" ht="9.75" customHeight="1">
      <c r="A26" s="16"/>
      <c r="B26" s="17"/>
      <c r="C26" s="18"/>
      <c r="D26" s="18"/>
      <c r="E26" s="266" t="s">
        <v>19</v>
      </c>
      <c r="F26" s="267"/>
      <c r="G26" s="267"/>
      <c r="H26" s="267"/>
      <c r="I26" s="267"/>
      <c r="J26" s="267"/>
      <c r="K26" s="267"/>
      <c r="L26" s="267"/>
      <c r="M26" s="267"/>
      <c r="N26" s="268"/>
      <c r="O26" s="156"/>
      <c r="P26"/>
      <c r="Q26"/>
      <c r="R26"/>
      <c r="S26"/>
    </row>
    <row r="27" spans="1:19" ht="11.25" customHeight="1">
      <c r="A27" s="16"/>
      <c r="B27" s="17"/>
      <c r="C27" s="18"/>
      <c r="D27" s="18"/>
      <c r="E27" s="245" t="s">
        <v>89</v>
      </c>
      <c r="F27" s="246"/>
      <c r="G27" s="246"/>
      <c r="H27" s="246"/>
      <c r="I27" s="246"/>
      <c r="J27" s="246"/>
      <c r="K27" s="247"/>
      <c r="L27" s="247"/>
      <c r="M27" s="247"/>
      <c r="N27" s="248"/>
      <c r="O27" s="156"/>
      <c r="P27"/>
      <c r="Q27"/>
      <c r="R27"/>
      <c r="S27"/>
    </row>
    <row r="28" spans="1:19" ht="12" customHeight="1" thickBot="1">
      <c r="A28" s="16"/>
      <c r="B28" s="17"/>
      <c r="C28" s="18"/>
      <c r="D28" s="18"/>
      <c r="E28" s="269" t="s">
        <v>38</v>
      </c>
      <c r="F28" s="270"/>
      <c r="G28" s="271"/>
      <c r="H28" s="271"/>
      <c r="I28" s="271"/>
      <c r="J28" s="271"/>
      <c r="K28" s="272"/>
      <c r="L28" s="272"/>
      <c r="M28" s="272"/>
      <c r="N28" s="273"/>
      <c r="O28" s="156"/>
      <c r="P28"/>
      <c r="Q28"/>
      <c r="R28"/>
      <c r="S28"/>
    </row>
    <row r="29" spans="1:19" ht="11.25" customHeight="1">
      <c r="A29" s="16"/>
      <c r="B29" s="17"/>
      <c r="C29" s="18"/>
      <c r="D29" s="18"/>
      <c r="E29" s="53"/>
      <c r="F29" s="53"/>
      <c r="G29" s="53"/>
      <c r="H29" s="53"/>
      <c r="I29" s="53"/>
      <c r="J29" s="53"/>
      <c r="K29" s="12"/>
      <c r="L29" s="12"/>
      <c r="M29" s="12"/>
      <c r="N29" s="15"/>
      <c r="O29" s="156"/>
      <c r="P29"/>
      <c r="Q29"/>
      <c r="R29"/>
      <c r="S29"/>
    </row>
    <row r="30" spans="2:19" ht="11.25" customHeight="1" thickBot="1">
      <c r="B30" s="224"/>
      <c r="C30" s="225"/>
      <c r="D30" s="225"/>
      <c r="E30" s="225"/>
      <c r="F30" s="225"/>
      <c r="G30" s="225"/>
      <c r="H30" s="225"/>
      <c r="I30" s="225"/>
      <c r="J30" s="225"/>
      <c r="K30" s="55"/>
      <c r="L30" s="55"/>
      <c r="M30" s="55"/>
      <c r="N30" s="56"/>
      <c r="O30" s="156"/>
      <c r="P30"/>
      <c r="Q30"/>
      <c r="R30"/>
      <c r="S30"/>
    </row>
    <row r="31" spans="14:19" ht="5.25" customHeight="1" thickBot="1">
      <c r="N31" s="24"/>
      <c r="O31" s="156"/>
      <c r="P31"/>
      <c r="Q31"/>
      <c r="R31"/>
      <c r="S31"/>
    </row>
    <row r="32" spans="1:15" ht="15.75" customHeight="1" thickBot="1">
      <c r="A32" s="16"/>
      <c r="B32" s="238" t="s">
        <v>39</v>
      </c>
      <c r="C32" s="239"/>
      <c r="E32" s="18"/>
      <c r="F32" s="18"/>
      <c r="G32" s="18"/>
      <c r="H32" s="18"/>
      <c r="I32" s="19"/>
      <c r="J32" s="18"/>
      <c r="K32" s="19"/>
      <c r="L32" s="12"/>
      <c r="M32" s="12"/>
      <c r="N32" s="15"/>
      <c r="O32" s="158"/>
    </row>
    <row r="33" spans="1:15" ht="15" customHeight="1">
      <c r="A33" s="16"/>
      <c r="B33" s="87" t="s">
        <v>1</v>
      </c>
      <c r="C33" s="21" t="str">
        <f>'Data Entry'!C7</f>
        <v>UREA</v>
      </c>
      <c r="D33" s="18"/>
      <c r="F33" s="22"/>
      <c r="G33" s="222" t="s">
        <v>108</v>
      </c>
      <c r="H33" s="23"/>
      <c r="I33" s="262" t="s">
        <v>17</v>
      </c>
      <c r="J33" s="263"/>
      <c r="K33" s="263"/>
      <c r="L33" s="263"/>
      <c r="M33" s="263"/>
      <c r="N33" s="24"/>
      <c r="O33" s="158"/>
    </row>
    <row r="34" spans="1:15" ht="13.5">
      <c r="A34" s="16"/>
      <c r="B34" s="20" t="s">
        <v>3</v>
      </c>
      <c r="C34" s="184">
        <f>'Data Entry'!C8</f>
        <v>600</v>
      </c>
      <c r="D34" s="18"/>
      <c r="F34" s="17"/>
      <c r="G34" s="223"/>
      <c r="H34" s="18"/>
      <c r="I34" s="19"/>
      <c r="J34" s="18"/>
      <c r="K34" s="19"/>
      <c r="L34" s="12"/>
      <c r="M34" s="12"/>
      <c r="N34" s="15"/>
      <c r="O34" s="158"/>
    </row>
    <row r="35" spans="1:15" ht="13.5">
      <c r="A35" s="16"/>
      <c r="B35" s="20" t="s">
        <v>4</v>
      </c>
      <c r="C35" s="25">
        <f>'Data Entry'!C9</f>
        <v>46</v>
      </c>
      <c r="D35" s="18"/>
      <c r="F35" s="17"/>
      <c r="G35" s="223"/>
      <c r="H35" s="26">
        <f>K35-C39*3</f>
        <v>3.5</v>
      </c>
      <c r="I35" s="26">
        <f>K35-C39*2</f>
        <v>4</v>
      </c>
      <c r="J35" s="26">
        <f>K35-C39</f>
        <v>4.5</v>
      </c>
      <c r="K35" s="27">
        <f>'Data Entry'!F14</f>
        <v>5</v>
      </c>
      <c r="L35" s="26">
        <f>K35+C39</f>
        <v>5.5</v>
      </c>
      <c r="M35" s="26">
        <f>K35+C39*2</f>
        <v>6</v>
      </c>
      <c r="N35" s="28">
        <f>K35+C39*3</f>
        <v>6.5</v>
      </c>
      <c r="O35" s="158"/>
    </row>
    <row r="36" spans="1:15" ht="13.5">
      <c r="A36" s="16"/>
      <c r="B36" s="20" t="s">
        <v>5</v>
      </c>
      <c r="C36" s="61">
        <f>(C34/((C35/100)*2200))</f>
        <v>0.5928853754940712</v>
      </c>
      <c r="D36" s="18"/>
      <c r="F36" s="17"/>
      <c r="G36" s="29" t="s">
        <v>6</v>
      </c>
      <c r="H36" s="18"/>
      <c r="I36" s="18"/>
      <c r="J36" s="18"/>
      <c r="K36" s="12"/>
      <c r="L36" s="12"/>
      <c r="M36" s="12"/>
      <c r="N36" s="15"/>
      <c r="O36" s="158"/>
    </row>
    <row r="37" spans="1:19" ht="13.5">
      <c r="A37" s="16"/>
      <c r="B37" s="30" t="s">
        <v>20</v>
      </c>
      <c r="C37" s="31">
        <f>'Data Entry'!C11</f>
        <v>10</v>
      </c>
      <c r="D37" s="18"/>
      <c r="F37" s="32"/>
      <c r="G37" s="70" t="s">
        <v>67</v>
      </c>
      <c r="H37" s="264" t="s">
        <v>8</v>
      </c>
      <c r="I37" s="264"/>
      <c r="J37" s="264"/>
      <c r="K37" s="264"/>
      <c r="L37" s="264"/>
      <c r="M37" s="264"/>
      <c r="N37" s="265"/>
      <c r="O37" s="156"/>
      <c r="P37"/>
      <c r="Q37"/>
      <c r="R37"/>
      <c r="S37"/>
    </row>
    <row r="38" spans="1:19" ht="14.25" thickBot="1">
      <c r="A38" s="16"/>
      <c r="B38" s="33" t="s">
        <v>113</v>
      </c>
      <c r="C38" s="34"/>
      <c r="D38" s="18"/>
      <c r="F38" s="35" t="s">
        <v>9</v>
      </c>
      <c r="G38" s="73" t="s">
        <v>68</v>
      </c>
      <c r="H38" s="228" t="s">
        <v>18</v>
      </c>
      <c r="I38" s="228"/>
      <c r="J38" s="228"/>
      <c r="K38" s="228"/>
      <c r="L38" s="228"/>
      <c r="M38" s="228"/>
      <c r="N38" s="229"/>
      <c r="O38" s="156"/>
      <c r="P38"/>
      <c r="Q38"/>
      <c r="R38"/>
      <c r="S38"/>
    </row>
    <row r="39" spans="1:19" ht="13.5">
      <c r="A39" s="16"/>
      <c r="B39" s="37" t="s">
        <v>115</v>
      </c>
      <c r="C39" s="57">
        <f>'Data Entry'!C13</f>
        <v>0.5</v>
      </c>
      <c r="D39" s="18"/>
      <c r="F39" s="39" t="s">
        <v>11</v>
      </c>
      <c r="G39" s="75" t="s">
        <v>12</v>
      </c>
      <c r="H39" s="41">
        <f aca="true" t="shared" si="4" ref="H39:N39">H35/$C$11</f>
        <v>5.903333333333333</v>
      </c>
      <c r="I39" s="41">
        <f t="shared" si="4"/>
        <v>6.746666666666666</v>
      </c>
      <c r="J39" s="41">
        <f t="shared" si="4"/>
        <v>7.59</v>
      </c>
      <c r="K39" s="41">
        <f t="shared" si="4"/>
        <v>8.433333333333334</v>
      </c>
      <c r="L39" s="41">
        <f t="shared" si="4"/>
        <v>9.276666666666666</v>
      </c>
      <c r="M39" s="41">
        <f t="shared" si="4"/>
        <v>10.12</v>
      </c>
      <c r="N39" s="42">
        <f t="shared" si="4"/>
        <v>10.963333333333333</v>
      </c>
      <c r="O39" s="156"/>
      <c r="P39"/>
      <c r="Q39"/>
      <c r="R39"/>
      <c r="S39"/>
    </row>
    <row r="40" spans="1:19" ht="13.5">
      <c r="A40" s="16"/>
      <c r="B40" s="43" t="s">
        <v>28</v>
      </c>
      <c r="C40" s="34"/>
      <c r="D40" s="18"/>
      <c r="F40" s="44">
        <f>IF((F44-4*$C$12)&lt;0,0,(F44-4*$C$12))</f>
        <v>30</v>
      </c>
      <c r="G40" s="128">
        <f>G15+(-0.0038*($C$16)^2+0.5464*($C$16))+14.22</f>
        <v>27.192</v>
      </c>
      <c r="H40" s="137">
        <f aca="true" t="shared" si="5" ref="H40:N40">(H$10*$G40)-($C$11*($F40))</f>
        <v>77.38543873517786</v>
      </c>
      <c r="I40" s="137">
        <f t="shared" si="5"/>
        <v>90.98143873517786</v>
      </c>
      <c r="J40" s="137">
        <f t="shared" si="5"/>
        <v>104.57743873517786</v>
      </c>
      <c r="K40" s="137">
        <f t="shared" si="5"/>
        <v>118.17343873517787</v>
      </c>
      <c r="L40" s="137">
        <f t="shared" si="5"/>
        <v>131.76943873517789</v>
      </c>
      <c r="M40" s="137">
        <f t="shared" si="5"/>
        <v>145.36543873517786</v>
      </c>
      <c r="N40" s="138">
        <f t="shared" si="5"/>
        <v>158.96143873517786</v>
      </c>
      <c r="O40" s="156"/>
      <c r="P40"/>
      <c r="Q40"/>
      <c r="R40"/>
      <c r="S40"/>
    </row>
    <row r="41" spans="1:19" ht="13.5">
      <c r="A41" s="16"/>
      <c r="B41" s="37" t="s">
        <v>29</v>
      </c>
      <c r="C41" s="45">
        <f>'Data Entry'!C15</f>
        <v>30</v>
      </c>
      <c r="D41" s="18"/>
      <c r="F41" s="44">
        <f>IF((F45-4*$C$12)&lt;0,0,(F45-4*$C$12))</f>
        <v>40</v>
      </c>
      <c r="G41" s="128">
        <f aca="true" t="shared" si="6" ref="G41:G48">G16+(-0.0038*($C$16)^2+0.5464*($C$16))+14.22</f>
        <v>29.996000000000002</v>
      </c>
      <c r="H41" s="137">
        <f aca="true" t="shared" si="7" ref="H41:N48">(H$10*$G41)-($C$11*($F41))</f>
        <v>81.27058498023716</v>
      </c>
      <c r="I41" s="137">
        <f t="shared" si="7"/>
        <v>96.26858498023716</v>
      </c>
      <c r="J41" s="137">
        <f t="shared" si="7"/>
        <v>111.26658498023716</v>
      </c>
      <c r="K41" s="137">
        <f t="shared" si="7"/>
        <v>126.26458498023717</v>
      </c>
      <c r="L41" s="137">
        <f t="shared" si="7"/>
        <v>141.26258498023716</v>
      </c>
      <c r="M41" s="137">
        <f t="shared" si="7"/>
        <v>156.26058498023716</v>
      </c>
      <c r="N41" s="138">
        <f t="shared" si="7"/>
        <v>171.25858498023717</v>
      </c>
      <c r="O41" s="156"/>
      <c r="P41"/>
      <c r="Q41"/>
      <c r="R41"/>
      <c r="S41"/>
    </row>
    <row r="42" spans="1:19" ht="13.5">
      <c r="A42" s="16"/>
      <c r="B42" s="43" t="s">
        <v>30</v>
      </c>
      <c r="C42" s="46"/>
      <c r="D42" s="18"/>
      <c r="F42" s="44">
        <f>IF((F46-4*$C$12)&lt;0,0,(F46-4*$C$12))</f>
        <v>50</v>
      </c>
      <c r="G42" s="128">
        <f t="shared" si="6"/>
        <v>32.04</v>
      </c>
      <c r="H42" s="137">
        <f t="shared" si="7"/>
        <v>82.49573122529644</v>
      </c>
      <c r="I42" s="137">
        <f t="shared" si="7"/>
        <v>98.51573122529643</v>
      </c>
      <c r="J42" s="137">
        <f t="shared" si="7"/>
        <v>114.53573122529644</v>
      </c>
      <c r="K42" s="137">
        <f t="shared" si="7"/>
        <v>130.55573122529643</v>
      </c>
      <c r="L42" s="137">
        <f t="shared" si="7"/>
        <v>146.57573122529644</v>
      </c>
      <c r="M42" s="137">
        <f t="shared" si="7"/>
        <v>162.59573122529645</v>
      </c>
      <c r="N42" s="138">
        <f t="shared" si="7"/>
        <v>178.61573122529643</v>
      </c>
      <c r="O42" s="156"/>
      <c r="P42"/>
      <c r="Q42"/>
      <c r="R42"/>
      <c r="S42"/>
    </row>
    <row r="43" spans="1:19" ht="14.25" thickBot="1">
      <c r="A43" s="16"/>
      <c r="B43" s="17"/>
      <c r="C43" s="18"/>
      <c r="D43" s="18"/>
      <c r="F43" s="44">
        <f>IF((F47-4*$C$12)&lt;0,0,(F47-4*$C$12))</f>
        <v>60</v>
      </c>
      <c r="G43" s="128">
        <f t="shared" si="6"/>
        <v>33.324</v>
      </c>
      <c r="H43" s="137">
        <f t="shared" si="7"/>
        <v>81.0608774703557</v>
      </c>
      <c r="I43" s="137">
        <f t="shared" si="7"/>
        <v>97.72287747035571</v>
      </c>
      <c r="J43" s="137">
        <f t="shared" si="7"/>
        <v>114.38487747035572</v>
      </c>
      <c r="K43" s="137">
        <f t="shared" si="7"/>
        <v>131.04687747035572</v>
      </c>
      <c r="L43" s="137">
        <f t="shared" si="7"/>
        <v>147.7088774703557</v>
      </c>
      <c r="M43" s="137">
        <f t="shared" si="7"/>
        <v>164.3708774703557</v>
      </c>
      <c r="N43" s="138">
        <f t="shared" si="7"/>
        <v>181.03287747035571</v>
      </c>
      <c r="O43" s="156"/>
      <c r="P43"/>
      <c r="Q43"/>
      <c r="R43"/>
      <c r="S43"/>
    </row>
    <row r="44" spans="1:19" ht="14.25" thickBot="1">
      <c r="A44" s="16"/>
      <c r="B44" s="47"/>
      <c r="C44" s="48"/>
      <c r="E44" s="49" t="s">
        <v>13</v>
      </c>
      <c r="F44" s="50">
        <f>'Data Entry'!G9</f>
        <v>70</v>
      </c>
      <c r="G44" s="128">
        <f t="shared" si="6"/>
        <v>33.848</v>
      </c>
      <c r="H44" s="137">
        <f>(H$10*$G44)-($C$11*($F44))</f>
        <v>76.966023715415</v>
      </c>
      <c r="I44" s="137">
        <f t="shared" si="7"/>
        <v>93.89002371541501</v>
      </c>
      <c r="J44" s="137">
        <f t="shared" si="7"/>
        <v>110.81402371541502</v>
      </c>
      <c r="K44" s="137">
        <f t="shared" si="7"/>
        <v>127.73802371541503</v>
      </c>
      <c r="L44" s="137">
        <f t="shared" si="7"/>
        <v>144.662023715415</v>
      </c>
      <c r="M44" s="137">
        <f t="shared" si="7"/>
        <v>161.58602371541502</v>
      </c>
      <c r="N44" s="138">
        <f t="shared" si="7"/>
        <v>178.510023715415</v>
      </c>
      <c r="O44" s="156"/>
      <c r="P44"/>
      <c r="Q44"/>
      <c r="R44"/>
      <c r="S44"/>
    </row>
    <row r="45" spans="1:19" ht="13.5">
      <c r="A45" s="16"/>
      <c r="B45" s="17"/>
      <c r="C45" s="18"/>
      <c r="D45" s="18"/>
      <c r="F45" s="51">
        <f>F44+C37</f>
        <v>80</v>
      </c>
      <c r="G45" s="128">
        <f t="shared" si="6"/>
        <v>33.612</v>
      </c>
      <c r="H45" s="137">
        <f t="shared" si="7"/>
        <v>70.21116996047431</v>
      </c>
      <c r="I45" s="137">
        <f t="shared" si="7"/>
        <v>87.01716996047432</v>
      </c>
      <c r="J45" s="137">
        <f t="shared" si="7"/>
        <v>103.82316996047433</v>
      </c>
      <c r="K45" s="137">
        <f t="shared" si="7"/>
        <v>120.62916996047431</v>
      </c>
      <c r="L45" s="137">
        <f t="shared" si="7"/>
        <v>137.43516996047433</v>
      </c>
      <c r="M45" s="137">
        <f t="shared" si="7"/>
        <v>154.24116996047434</v>
      </c>
      <c r="N45" s="138">
        <f t="shared" si="7"/>
        <v>171.04716996047432</v>
      </c>
      <c r="O45" s="156"/>
      <c r="P45"/>
      <c r="Q45"/>
      <c r="R45"/>
      <c r="S45"/>
    </row>
    <row r="46" spans="1:19" ht="13.5">
      <c r="A46" s="16"/>
      <c r="B46" s="17"/>
      <c r="C46" s="52"/>
      <c r="D46" s="18"/>
      <c r="F46" s="51">
        <f>F44+2*C37</f>
        <v>90</v>
      </c>
      <c r="G46" s="128">
        <f t="shared" si="6"/>
        <v>32.616</v>
      </c>
      <c r="H46" s="137">
        <f>(H$10*$G46)-($C$11*($F46))</f>
        <v>60.7963162055336</v>
      </c>
      <c r="I46" s="137">
        <f t="shared" si="7"/>
        <v>77.10431620553359</v>
      </c>
      <c r="J46" s="137">
        <f t="shared" si="7"/>
        <v>93.41231620553359</v>
      </c>
      <c r="K46" s="137">
        <f t="shared" si="7"/>
        <v>109.72031620553358</v>
      </c>
      <c r="L46" s="137">
        <f t="shared" si="7"/>
        <v>126.0283162055336</v>
      </c>
      <c r="M46" s="137">
        <f t="shared" si="7"/>
        <v>142.3363162055336</v>
      </c>
      <c r="N46" s="138">
        <f t="shared" si="7"/>
        <v>158.64431620553358</v>
      </c>
      <c r="O46" s="156"/>
      <c r="P46"/>
      <c r="Q46"/>
      <c r="R46"/>
      <c r="S46"/>
    </row>
    <row r="47" spans="1:19" ht="13.5">
      <c r="A47" s="16"/>
      <c r="B47" s="17"/>
      <c r="C47" s="18"/>
      <c r="D47" s="18"/>
      <c r="F47" s="51">
        <f>F44+3*C37</f>
        <v>100</v>
      </c>
      <c r="G47" s="128">
        <f t="shared" si="6"/>
        <v>30.86</v>
      </c>
      <c r="H47" s="137">
        <f t="shared" si="7"/>
        <v>48.721462450592874</v>
      </c>
      <c r="I47" s="137">
        <f t="shared" si="7"/>
        <v>64.15146245059287</v>
      </c>
      <c r="J47" s="137">
        <f t="shared" si="7"/>
        <v>79.58146245059288</v>
      </c>
      <c r="K47" s="137">
        <f t="shared" si="7"/>
        <v>95.01146245059289</v>
      </c>
      <c r="L47" s="137">
        <f t="shared" si="7"/>
        <v>110.44146245059287</v>
      </c>
      <c r="M47" s="137">
        <f t="shared" si="7"/>
        <v>125.87146245059287</v>
      </c>
      <c r="N47" s="138">
        <f t="shared" si="7"/>
        <v>141.30146245059288</v>
      </c>
      <c r="O47" s="156"/>
      <c r="P47"/>
      <c r="Q47"/>
      <c r="R47"/>
      <c r="S47"/>
    </row>
    <row r="48" spans="1:19" ht="13.5">
      <c r="A48" s="16"/>
      <c r="B48" s="17"/>
      <c r="C48" s="18"/>
      <c r="D48" s="18"/>
      <c r="F48" s="51">
        <f>F44+4*C37</f>
        <v>110</v>
      </c>
      <c r="G48" s="128">
        <f t="shared" si="6"/>
        <v>28.344</v>
      </c>
      <c r="H48" s="137">
        <f t="shared" si="7"/>
        <v>33.98660869565218</v>
      </c>
      <c r="I48" s="137">
        <f t="shared" si="7"/>
        <v>48.15860869565218</v>
      </c>
      <c r="J48" s="137">
        <f t="shared" si="7"/>
        <v>62.330608695652174</v>
      </c>
      <c r="K48" s="137">
        <f t="shared" si="7"/>
        <v>76.50260869565217</v>
      </c>
      <c r="L48" s="137">
        <f t="shared" si="7"/>
        <v>90.67460869565217</v>
      </c>
      <c r="M48" s="137">
        <f t="shared" si="7"/>
        <v>104.8466086956522</v>
      </c>
      <c r="N48" s="138">
        <f t="shared" si="7"/>
        <v>119.01860869565219</v>
      </c>
      <c r="O48" s="156"/>
      <c r="P48"/>
      <c r="Q48"/>
      <c r="R48"/>
      <c r="S48"/>
    </row>
    <row r="49" spans="1:19" ht="13.5" customHeight="1">
      <c r="A49" s="16"/>
      <c r="B49" s="17"/>
      <c r="C49" s="18"/>
      <c r="D49" s="18"/>
      <c r="F49" s="185" t="s">
        <v>52</v>
      </c>
      <c r="G49" s="178"/>
      <c r="H49" s="178"/>
      <c r="I49" s="178"/>
      <c r="J49" s="178"/>
      <c r="K49" s="178"/>
      <c r="L49" s="178"/>
      <c r="M49" s="178"/>
      <c r="N49" s="179"/>
      <c r="O49" s="156"/>
      <c r="P49"/>
      <c r="Q49"/>
      <c r="R49"/>
      <c r="S49"/>
    </row>
    <row r="50" spans="1:19" ht="9.75" customHeight="1">
      <c r="A50" s="16"/>
      <c r="B50" s="17"/>
      <c r="C50" s="18"/>
      <c r="D50" s="18"/>
      <c r="F50" s="188" t="s">
        <v>16</v>
      </c>
      <c r="G50" s="180"/>
      <c r="H50" s="180"/>
      <c r="I50" s="180"/>
      <c r="J50" s="180"/>
      <c r="K50" s="180"/>
      <c r="L50" s="180"/>
      <c r="M50" s="180"/>
      <c r="N50" s="181"/>
      <c r="O50" s="156"/>
      <c r="P50"/>
      <c r="Q50"/>
      <c r="R50"/>
      <c r="S50"/>
    </row>
    <row r="51" spans="1:19" ht="9.75" customHeight="1">
      <c r="A51" s="16"/>
      <c r="B51" s="17"/>
      <c r="C51" s="18"/>
      <c r="D51" s="18"/>
      <c r="F51" s="188" t="s">
        <v>105</v>
      </c>
      <c r="G51" s="180"/>
      <c r="H51" s="180"/>
      <c r="I51" s="180"/>
      <c r="J51" s="180"/>
      <c r="K51" s="180"/>
      <c r="L51" s="180"/>
      <c r="M51" s="180"/>
      <c r="N51" s="181"/>
      <c r="O51" s="156"/>
      <c r="P51"/>
      <c r="Q51"/>
      <c r="R51"/>
      <c r="S51"/>
    </row>
    <row r="52" spans="1:19" ht="11.25" customHeight="1">
      <c r="A52" s="16"/>
      <c r="B52" s="17"/>
      <c r="C52" s="18"/>
      <c r="D52" s="18"/>
      <c r="F52" s="79" t="s">
        <v>89</v>
      </c>
      <c r="G52" s="80"/>
      <c r="H52" s="80"/>
      <c r="I52" s="80"/>
      <c r="J52" s="80"/>
      <c r="K52" s="132"/>
      <c r="L52" s="132"/>
      <c r="M52" s="132"/>
      <c r="N52" s="171"/>
      <c r="O52" s="156"/>
      <c r="P52"/>
      <c r="Q52"/>
      <c r="R52"/>
      <c r="S52"/>
    </row>
    <row r="53" spans="1:19" ht="12" customHeight="1" thickBot="1">
      <c r="A53" s="16"/>
      <c r="B53" s="17"/>
      <c r="C53" s="18"/>
      <c r="D53" s="18"/>
      <c r="F53" s="191" t="s">
        <v>38</v>
      </c>
      <c r="G53" s="182"/>
      <c r="H53" s="183"/>
      <c r="I53" s="183"/>
      <c r="J53" s="183"/>
      <c r="K53" s="175"/>
      <c r="L53" s="175"/>
      <c r="M53" s="175"/>
      <c r="N53" s="176"/>
      <c r="O53" s="156"/>
      <c r="P53"/>
      <c r="Q53"/>
      <c r="R53"/>
      <c r="S53"/>
    </row>
    <row r="54" spans="1:19" ht="11.25" customHeight="1">
      <c r="A54" s="16"/>
      <c r="B54" s="17"/>
      <c r="C54" s="18"/>
      <c r="D54" s="18"/>
      <c r="E54" s="53"/>
      <c r="F54" s="53"/>
      <c r="G54" s="53"/>
      <c r="H54" s="53"/>
      <c r="I54" s="53"/>
      <c r="J54" s="53"/>
      <c r="K54" s="12"/>
      <c r="L54" s="12"/>
      <c r="M54" s="12"/>
      <c r="N54" s="15"/>
      <c r="O54" s="156"/>
      <c r="P54"/>
      <c r="Q54"/>
      <c r="R54"/>
      <c r="S54"/>
    </row>
    <row r="55" spans="2:19" ht="11.25" customHeight="1" thickBot="1">
      <c r="B55" s="224"/>
      <c r="C55" s="225"/>
      <c r="D55" s="225"/>
      <c r="E55" s="225"/>
      <c r="F55" s="225"/>
      <c r="G55" s="225"/>
      <c r="H55" s="225"/>
      <c r="I55" s="225"/>
      <c r="J55" s="225"/>
      <c r="K55" s="55"/>
      <c r="L55" s="55"/>
      <c r="M55" s="55"/>
      <c r="N55" s="56"/>
      <c r="O55" s="156"/>
      <c r="P55"/>
      <c r="Q55"/>
      <c r="R55"/>
      <c r="S55"/>
    </row>
    <row r="56" spans="15:19" ht="12.75">
      <c r="O56" s="156"/>
      <c r="P56"/>
      <c r="Q56"/>
      <c r="R56"/>
      <c r="S56"/>
    </row>
  </sheetData>
  <sheetProtection/>
  <mergeCells count="22">
    <mergeCell ref="E25:N25"/>
    <mergeCell ref="E26:N26"/>
    <mergeCell ref="E28:N28"/>
    <mergeCell ref="E27:N27"/>
    <mergeCell ref="H38:N38"/>
    <mergeCell ref="B55:J55"/>
    <mergeCell ref="G8:G10"/>
    <mergeCell ref="B32:C32"/>
    <mergeCell ref="G33:G35"/>
    <mergeCell ref="I33:M33"/>
    <mergeCell ref="H37:N37"/>
    <mergeCell ref="H12:N12"/>
    <mergeCell ref="B30:J30"/>
    <mergeCell ref="I8:M8"/>
    <mergeCell ref="H13:N13"/>
    <mergeCell ref="E24:N24"/>
    <mergeCell ref="O2:Q2"/>
    <mergeCell ref="O3:Q3"/>
    <mergeCell ref="B2:N2"/>
    <mergeCell ref="B3:N3"/>
    <mergeCell ref="B7:C7"/>
    <mergeCell ref="B5:E5"/>
  </mergeCells>
  <conditionalFormatting sqref="I15:I23">
    <cfRule type="cellIs" priority="1" dxfId="2" operator="equal" stopIfTrue="1">
      <formula>MAX($I$15:$I$23)</formula>
    </cfRule>
    <cfRule type="cellIs" priority="2" dxfId="0" operator="between" stopIfTrue="1">
      <formula>MAX($I$15:$I$23)</formula>
      <formula>MAX($I$15:$I$23)-1</formula>
    </cfRule>
    <cfRule type="cellIs" priority="3" dxfId="0" operator="between" stopIfTrue="1">
      <formula>MAX($I$15:$I$23)</formula>
      <formula>MAX($I$15:$I$23)+1</formula>
    </cfRule>
  </conditionalFormatting>
  <conditionalFormatting sqref="J15:J23">
    <cfRule type="cellIs" priority="4" dxfId="2" operator="equal" stopIfTrue="1">
      <formula>MAX($J$15:$J$23)</formula>
    </cfRule>
    <cfRule type="cellIs" priority="5" dxfId="0" operator="between" stopIfTrue="1">
      <formula>MAX($J$15:$J$23)</formula>
      <formula>MAX($J$15:$J$23)-1</formula>
    </cfRule>
    <cfRule type="cellIs" priority="6" dxfId="0" operator="between" stopIfTrue="1">
      <formula>MAX($J$15:$J$23)</formula>
      <formula>MAX($J$15:$J$23)+1</formula>
    </cfRule>
  </conditionalFormatting>
  <conditionalFormatting sqref="K15:K23">
    <cfRule type="cellIs" priority="7" dxfId="2" operator="equal" stopIfTrue="1">
      <formula>MAX($K$15:$K$23)</formula>
    </cfRule>
    <cfRule type="cellIs" priority="8" dxfId="0" operator="between" stopIfTrue="1">
      <formula>MAX($K$15:$K$23)</formula>
      <formula>MAX($K$15:$K$23)-1</formula>
    </cfRule>
    <cfRule type="cellIs" priority="9" dxfId="0" operator="between" stopIfTrue="1">
      <formula>MAX($K$15:$K$23)</formula>
      <formula>MAX($K$15:$K$23)+1</formula>
    </cfRule>
  </conditionalFormatting>
  <conditionalFormatting sqref="L15:L23">
    <cfRule type="cellIs" priority="10" dxfId="2" operator="equal" stopIfTrue="1">
      <formula>MAX($L$15:$L$23)</formula>
    </cfRule>
    <cfRule type="cellIs" priority="11" dxfId="0" operator="between" stopIfTrue="1">
      <formula>MAX($L$15:$L$23)</formula>
      <formula>MAX($L$15:$L$23)-1</formula>
    </cfRule>
    <cfRule type="cellIs" priority="12" dxfId="0" operator="between" stopIfTrue="1">
      <formula>MAX($L$15:$L$23)</formula>
      <formula>MAX($L$15:$L$23)+1</formula>
    </cfRule>
  </conditionalFormatting>
  <conditionalFormatting sqref="M15:M23">
    <cfRule type="cellIs" priority="13" dxfId="2" operator="equal" stopIfTrue="1">
      <formula>MAX($M$15:$M$23)</formula>
    </cfRule>
    <cfRule type="cellIs" priority="14" dxfId="0" operator="between" stopIfTrue="1">
      <formula>MAX($M$15:$M$23)</formula>
      <formula>MAX($M$15:$M$23)-1</formula>
    </cfRule>
    <cfRule type="cellIs" priority="15" dxfId="0" operator="between" stopIfTrue="1">
      <formula>MAX($M$15:$M$23)</formula>
      <formula>MAX($M$15:$M$23)+1</formula>
    </cfRule>
  </conditionalFormatting>
  <conditionalFormatting sqref="N15:N23">
    <cfRule type="cellIs" priority="16" dxfId="2" operator="equal" stopIfTrue="1">
      <formula>MAX($N$15:$N$23)</formula>
    </cfRule>
    <cfRule type="cellIs" priority="17" dxfId="0" operator="between" stopIfTrue="1">
      <formula>MAX($N$15:$N$23)</formula>
      <formula>MAX($N$15:$N$23)-1</formula>
    </cfRule>
    <cfRule type="cellIs" priority="18" dxfId="0" operator="between" stopIfTrue="1">
      <formula>MAX($N$15:$N$23)</formula>
      <formula>MAX($N$15:$N$23)+1</formula>
    </cfRule>
  </conditionalFormatting>
  <conditionalFormatting sqref="H15:H23">
    <cfRule type="cellIs" priority="19" dxfId="2" operator="equal" stopIfTrue="1">
      <formula>MAX($H$15:$H$23)</formula>
    </cfRule>
    <cfRule type="cellIs" priority="20" dxfId="0" operator="between" stopIfTrue="1">
      <formula>MAX($H$15:$H$23)</formula>
      <formula>MAX($H$15:$H$23)-1</formula>
    </cfRule>
    <cfRule type="cellIs" priority="21" dxfId="0" operator="between" stopIfTrue="1">
      <formula>MAX($H$15:$H$23)</formula>
      <formula>MAX($H$15:$H$23)+1</formula>
    </cfRule>
  </conditionalFormatting>
  <conditionalFormatting sqref="H40:H48">
    <cfRule type="cellIs" priority="22" dxfId="2" operator="equal" stopIfTrue="1">
      <formula>MAX($H$40:$H$48)</formula>
    </cfRule>
    <cfRule type="cellIs" priority="23" dxfId="0" operator="between" stopIfTrue="1">
      <formula>MAX($H$40:$H$48)</formula>
      <formula>MAX($H$40:$H$50)-1</formula>
    </cfRule>
    <cfRule type="cellIs" priority="24" dxfId="0" operator="between" stopIfTrue="1">
      <formula>MAX($H$40:$H$48)</formula>
      <formula>MAX($H$40:$H$50)+1</formula>
    </cfRule>
  </conditionalFormatting>
  <conditionalFormatting sqref="I40:I48">
    <cfRule type="cellIs" priority="25" dxfId="2" operator="equal" stopIfTrue="1">
      <formula>MAX($I$40:$I$48)</formula>
    </cfRule>
    <cfRule type="cellIs" priority="26" dxfId="0" operator="between" stopIfTrue="1">
      <formula>MAX($I$40:$I$48)</formula>
      <formula>MAX($I$40:$I$48)-1</formula>
    </cfRule>
    <cfRule type="cellIs" priority="27" dxfId="0" operator="between" stopIfTrue="1">
      <formula>MAX($I$40:$I$48)</formula>
      <formula>MAX($I$40:$I$48)+1</formula>
    </cfRule>
  </conditionalFormatting>
  <conditionalFormatting sqref="J40:J48">
    <cfRule type="cellIs" priority="28" dxfId="2" operator="equal" stopIfTrue="1">
      <formula>MAX($J$40:$J$48)</formula>
    </cfRule>
    <cfRule type="cellIs" priority="29" dxfId="0" operator="between" stopIfTrue="1">
      <formula>MAX($J$40:$J$48)</formula>
      <formula>MAX($J$40:$J$48)-1</formula>
    </cfRule>
    <cfRule type="cellIs" priority="30" dxfId="0" operator="between" stopIfTrue="1">
      <formula>MAX($J$40:$J$48)</formula>
      <formula>MAX($J$40:$J$48)+1</formula>
    </cfRule>
  </conditionalFormatting>
  <conditionalFormatting sqref="K40:K48">
    <cfRule type="cellIs" priority="31" dxfId="2" operator="equal" stopIfTrue="1">
      <formula>MAX($K$40:$K$48)</formula>
    </cfRule>
    <cfRule type="cellIs" priority="32" dxfId="0" operator="between" stopIfTrue="1">
      <formula>MAX($K$40:$K$48)</formula>
      <formula>MAX($K$40:$K$48)-1</formula>
    </cfRule>
    <cfRule type="cellIs" priority="33" dxfId="0" operator="between" stopIfTrue="1">
      <formula>MAX($K$40:$K$48)</formula>
      <formula>MAX($K$40:$K$48)+1</formula>
    </cfRule>
  </conditionalFormatting>
  <conditionalFormatting sqref="L40:L48">
    <cfRule type="cellIs" priority="34" dxfId="2" operator="equal" stopIfTrue="1">
      <formula>MAX($L$40:$L$48)</formula>
    </cfRule>
    <cfRule type="cellIs" priority="35" dxfId="0" operator="between" stopIfTrue="1">
      <formula>MAX($L$40:$L$48)</formula>
      <formula>MAX($L$40:$L$48)-1</formula>
    </cfRule>
    <cfRule type="cellIs" priority="36" dxfId="0" operator="between" stopIfTrue="1">
      <formula>MAX($L$40:$L$48)</formula>
      <formula>MAX($L$40:$L$48)+1</formula>
    </cfRule>
  </conditionalFormatting>
  <conditionalFormatting sqref="M40:M48">
    <cfRule type="cellIs" priority="37" dxfId="2" operator="equal" stopIfTrue="1">
      <formula>MAX($M$40:$M$48)</formula>
    </cfRule>
    <cfRule type="cellIs" priority="38" dxfId="0" operator="between" stopIfTrue="1">
      <formula>MAX($M$40:$M$48)</formula>
      <formula>MAX($M$40:$M$48)-1</formula>
    </cfRule>
    <cfRule type="cellIs" priority="39" dxfId="0" operator="between" stopIfTrue="1">
      <formula>MAX($M$40:$M$48)</formula>
      <formula>MAX($M$40:$M$48)+1</formula>
    </cfRule>
  </conditionalFormatting>
  <conditionalFormatting sqref="N40:N48">
    <cfRule type="cellIs" priority="40" dxfId="2" operator="equal" stopIfTrue="1">
      <formula>MAX($N$40:$N$48)</formula>
    </cfRule>
    <cfRule type="cellIs" priority="41" dxfId="0" operator="between" stopIfTrue="1">
      <formula>MAX($N$40:$N$48)</formula>
      <formula>MAX($N$40:$N$48)-1</formula>
    </cfRule>
    <cfRule type="cellIs" priority="42" dxfId="0" operator="between" stopIfTrue="1">
      <formula>MAX($N$40:$N$48)</formula>
      <formula>MAX($N$40:$N$48)+1</formula>
    </cfRule>
  </conditionalFormatting>
  <hyperlinks>
    <hyperlink ref="O2:Q2" location="'Wheat (Arid) MR'!A1" display="Go to Marginal return Chart"/>
    <hyperlink ref="O3:Q3" location="'Wheat (Arid) Fertilizer'!A1" display="Go to Fertilizer as variable"/>
    <hyperlink ref="O5" location="'Data Entry'!A1" display="Return to Data Entry"/>
    <hyperlink ref="G33" location="'Wheat crop price'!D47" display="Go to Total Net Return"/>
    <hyperlink ref="G33:G35" location="'Wheat (Arid) Crop'!D1" display="Return to Net Return"/>
    <hyperlink ref="G8" location="'Wheat crop price'!D47" display="Go to Total Net Return"/>
    <hyperlink ref="G8:G10" location="'Wheat (Arid) Crop'!D53" display="Go to Total Net Return Below"/>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56"/>
  <sheetViews>
    <sheetView showGridLines="0" zoomScalePageLayoutView="0" workbookViewId="0" topLeftCell="A1">
      <selection activeCell="O2" sqref="O2"/>
    </sheetView>
  </sheetViews>
  <sheetFormatPr defaultColWidth="9.140625" defaultRowHeight="12.75"/>
  <cols>
    <col min="1" max="1" width="1.57421875" style="10" customWidth="1"/>
    <col min="2" max="2" width="17.28125" style="10" customWidth="1"/>
    <col min="3" max="3" width="9.28125" style="10" bestFit="1" customWidth="1"/>
    <col min="4" max="4" width="9.140625" style="10" customWidth="1"/>
    <col min="5" max="5" width="9.28125" style="10" bestFit="1" customWidth="1"/>
    <col min="6" max="6" width="9.28125" style="10" customWidth="1"/>
    <col min="7" max="7" width="13.57421875" style="10" customWidth="1"/>
    <col min="8" max="11" width="9.28125" style="10" bestFit="1" customWidth="1"/>
    <col min="12" max="13" width="9.421875" style="10" bestFit="1" customWidth="1"/>
    <col min="14" max="14" width="9.140625" style="10" customWidth="1"/>
    <col min="15" max="15" width="29.8515625" style="10" customWidth="1"/>
    <col min="16" max="16384" width="9.140625" style="10" customWidth="1"/>
  </cols>
  <sheetData>
    <row r="1" spans="2:10" ht="6" customHeight="1" thickBot="1">
      <c r="B1" s="11"/>
      <c r="C1" s="11"/>
      <c r="D1" s="11"/>
      <c r="E1" s="11"/>
      <c r="F1" s="11"/>
      <c r="G1" s="11"/>
      <c r="H1" s="11"/>
      <c r="I1" s="11"/>
      <c r="J1" s="11"/>
    </row>
    <row r="2" spans="1:15" ht="18.75" customHeight="1">
      <c r="A2" s="11"/>
      <c r="B2" s="253" t="s">
        <v>40</v>
      </c>
      <c r="C2" s="254"/>
      <c r="D2" s="254"/>
      <c r="E2" s="254"/>
      <c r="F2" s="254"/>
      <c r="G2" s="254"/>
      <c r="H2" s="254"/>
      <c r="I2" s="254"/>
      <c r="J2" s="254"/>
      <c r="K2" s="254"/>
      <c r="L2" s="254"/>
      <c r="M2" s="254"/>
      <c r="N2" s="255"/>
      <c r="O2" s="163" t="s">
        <v>69</v>
      </c>
    </row>
    <row r="3" spans="1:15" ht="21">
      <c r="A3" s="11"/>
      <c r="B3" s="256" t="s">
        <v>47</v>
      </c>
      <c r="C3" s="257"/>
      <c r="D3" s="257"/>
      <c r="E3" s="257"/>
      <c r="F3" s="257"/>
      <c r="G3" s="257"/>
      <c r="H3" s="257"/>
      <c r="I3" s="257"/>
      <c r="J3" s="257"/>
      <c r="K3" s="257"/>
      <c r="L3" s="257"/>
      <c r="M3" s="257"/>
      <c r="N3" s="258"/>
      <c r="O3" s="163" t="s">
        <v>70</v>
      </c>
    </row>
    <row r="4" spans="1:15" ht="6.75" customHeight="1">
      <c r="A4" s="11"/>
      <c r="B4" s="13"/>
      <c r="C4" s="14"/>
      <c r="D4" s="14"/>
      <c r="E4" s="14"/>
      <c r="F4" s="14"/>
      <c r="G4" s="14"/>
      <c r="H4" s="14"/>
      <c r="I4" s="14"/>
      <c r="J4" s="14"/>
      <c r="K4" s="12"/>
      <c r="L4" s="12"/>
      <c r="M4" s="12"/>
      <c r="N4" s="15"/>
      <c r="O4" s="166"/>
    </row>
    <row r="5" spans="2:15" ht="12.75">
      <c r="B5" s="259"/>
      <c r="C5" s="260"/>
      <c r="D5" s="260"/>
      <c r="E5" s="12"/>
      <c r="F5" s="12"/>
      <c r="G5" s="12"/>
      <c r="H5" s="12"/>
      <c r="I5" s="12"/>
      <c r="J5" s="12"/>
      <c r="K5" s="12"/>
      <c r="L5" s="12"/>
      <c r="M5" s="12"/>
      <c r="N5" s="15"/>
      <c r="O5" s="161" t="s">
        <v>100</v>
      </c>
    </row>
    <row r="6" spans="1:14" ht="4.5" customHeight="1" thickBot="1">
      <c r="A6" s="16"/>
      <c r="B6" s="17"/>
      <c r="C6" s="18"/>
      <c r="D6" s="18"/>
      <c r="E6" s="18"/>
      <c r="F6" s="18"/>
      <c r="G6" s="18"/>
      <c r="H6" s="18"/>
      <c r="I6" s="18"/>
      <c r="J6" s="18"/>
      <c r="K6" s="12"/>
      <c r="L6" s="12"/>
      <c r="M6" s="12"/>
      <c r="N6" s="15"/>
    </row>
    <row r="7" spans="1:15" ht="15.75" customHeight="1" thickBot="1">
      <c r="A7" s="16"/>
      <c r="B7" s="238" t="s">
        <v>39</v>
      </c>
      <c r="C7" s="239"/>
      <c r="D7" s="18"/>
      <c r="E7" s="18"/>
      <c r="F7" s="18"/>
      <c r="G7" s="18"/>
      <c r="H7" s="18"/>
      <c r="I7" s="19"/>
      <c r="J7" s="18"/>
      <c r="K7" s="19"/>
      <c r="L7" s="12"/>
      <c r="M7" s="12"/>
      <c r="N7" s="15"/>
      <c r="O7" s="129"/>
    </row>
    <row r="8" spans="1:14" ht="15" customHeight="1">
      <c r="A8" s="16"/>
      <c r="B8" s="87" t="s">
        <v>1</v>
      </c>
      <c r="C8" s="21" t="str">
        <f>'Data Entry'!C7</f>
        <v>UREA</v>
      </c>
      <c r="D8" s="18"/>
      <c r="E8" s="22"/>
      <c r="F8" s="23"/>
      <c r="G8" s="222" t="s">
        <v>106</v>
      </c>
      <c r="H8" s="23"/>
      <c r="I8" s="262" t="s">
        <v>22</v>
      </c>
      <c r="J8" s="263"/>
      <c r="K8" s="263"/>
      <c r="L8" s="263"/>
      <c r="M8" s="263"/>
      <c r="N8" s="24"/>
    </row>
    <row r="9" spans="1:14" ht="13.5">
      <c r="A9" s="16"/>
      <c r="B9" s="20" t="s">
        <v>3</v>
      </c>
      <c r="C9" s="59">
        <f>'Data Entry'!C8</f>
        <v>600</v>
      </c>
      <c r="D9" s="18"/>
      <c r="E9" s="17"/>
      <c r="F9" s="18"/>
      <c r="G9" s="223"/>
      <c r="H9" s="18"/>
      <c r="I9" s="19"/>
      <c r="J9" s="18"/>
      <c r="K9" s="19"/>
      <c r="L9" s="12"/>
      <c r="M9" s="12"/>
      <c r="N9" s="15"/>
    </row>
    <row r="10" spans="1:14" ht="13.5">
      <c r="A10" s="16"/>
      <c r="B10" s="20" t="s">
        <v>4</v>
      </c>
      <c r="C10" s="25">
        <f>'Data Entry'!C9</f>
        <v>46</v>
      </c>
      <c r="D10" s="18"/>
      <c r="E10" s="17"/>
      <c r="F10" s="18"/>
      <c r="G10" s="223"/>
      <c r="H10" s="26">
        <f>K10-C14*3</f>
        <v>1</v>
      </c>
      <c r="I10" s="26">
        <f>K10-C14*2</f>
        <v>1.5</v>
      </c>
      <c r="J10" s="26">
        <f>K10-C14</f>
        <v>2</v>
      </c>
      <c r="K10" s="27">
        <f>'Data Entry'!F15</f>
        <v>2.5</v>
      </c>
      <c r="L10" s="26">
        <f>K10+C14</f>
        <v>3</v>
      </c>
      <c r="M10" s="26">
        <f>K10+C14*2</f>
        <v>3.5</v>
      </c>
      <c r="N10" s="28">
        <f>K10+C14*3</f>
        <v>4</v>
      </c>
    </row>
    <row r="11" spans="1:14" ht="13.5">
      <c r="A11" s="16"/>
      <c r="B11" s="20" t="s">
        <v>5</v>
      </c>
      <c r="C11" s="61">
        <f>(C9/((C10/100)*2200))</f>
        <v>0.5928853754940712</v>
      </c>
      <c r="D11" s="18"/>
      <c r="E11" s="17"/>
      <c r="F11" s="18"/>
      <c r="G11" s="29" t="s">
        <v>6</v>
      </c>
      <c r="H11" s="18"/>
      <c r="I11" s="18"/>
      <c r="J11" s="18"/>
      <c r="K11" s="12"/>
      <c r="L11" s="12"/>
      <c r="M11" s="12"/>
      <c r="N11" s="15"/>
    </row>
    <row r="12" spans="1:14" ht="13.5">
      <c r="A12" s="16"/>
      <c r="B12" s="30" t="s">
        <v>20</v>
      </c>
      <c r="C12" s="31">
        <f>'Data Entry'!C11</f>
        <v>10</v>
      </c>
      <c r="D12" s="18"/>
      <c r="E12" s="32"/>
      <c r="F12" s="29" t="s">
        <v>67</v>
      </c>
      <c r="G12" s="29" t="s">
        <v>7</v>
      </c>
      <c r="H12" s="264" t="s">
        <v>8</v>
      </c>
      <c r="I12" s="264"/>
      <c r="J12" s="264"/>
      <c r="K12" s="264"/>
      <c r="L12" s="264"/>
      <c r="M12" s="264"/>
      <c r="N12" s="265"/>
    </row>
    <row r="13" spans="1:14" ht="14.25" thickBot="1">
      <c r="A13" s="16"/>
      <c r="B13" s="33" t="s">
        <v>113</v>
      </c>
      <c r="C13" s="34"/>
      <c r="D13" s="18"/>
      <c r="E13" s="35" t="s">
        <v>9</v>
      </c>
      <c r="F13" s="36" t="s">
        <v>68</v>
      </c>
      <c r="G13" s="36" t="s">
        <v>10</v>
      </c>
      <c r="H13" s="228" t="s">
        <v>23</v>
      </c>
      <c r="I13" s="228"/>
      <c r="J13" s="228"/>
      <c r="K13" s="228"/>
      <c r="L13" s="228"/>
      <c r="M13" s="228"/>
      <c r="N13" s="229"/>
    </row>
    <row r="14" spans="1:14" ht="13.5">
      <c r="A14" s="16"/>
      <c r="B14" s="37" t="s">
        <v>115</v>
      </c>
      <c r="C14" s="38">
        <f>'Data Entry'!C13</f>
        <v>0.5</v>
      </c>
      <c r="D14" s="18"/>
      <c r="E14" s="39" t="s">
        <v>11</v>
      </c>
      <c r="F14" s="40" t="s">
        <v>12</v>
      </c>
      <c r="G14" s="40" t="s">
        <v>12</v>
      </c>
      <c r="H14" s="41">
        <f>H10/$C$11</f>
        <v>1.6866666666666665</v>
      </c>
      <c r="I14" s="41">
        <f aca="true" t="shared" si="0" ref="I14:N14">I10/$C$11</f>
        <v>2.53</v>
      </c>
      <c r="J14" s="41">
        <f t="shared" si="0"/>
        <v>3.373333333333333</v>
      </c>
      <c r="K14" s="41">
        <f t="shared" si="0"/>
        <v>4.216666666666667</v>
      </c>
      <c r="L14" s="41">
        <f t="shared" si="0"/>
        <v>5.06</v>
      </c>
      <c r="M14" s="41">
        <f t="shared" si="0"/>
        <v>5.903333333333333</v>
      </c>
      <c r="N14" s="42">
        <f t="shared" si="0"/>
        <v>6.746666666666666</v>
      </c>
    </row>
    <row r="15" spans="1:14" ht="13.5">
      <c r="A15" s="16"/>
      <c r="B15" s="43" t="s">
        <v>28</v>
      </c>
      <c r="C15" s="34"/>
      <c r="D15" s="18"/>
      <c r="E15" s="44">
        <f>IF((E19-4*$C$12)&lt;0,0,(E19-4*$C$12))</f>
        <v>50</v>
      </c>
      <c r="F15" s="128">
        <f>G15+(-0.0037*($C$16)^2+1.152*($C$16))+34.75</f>
        <v>103.22999999999999</v>
      </c>
      <c r="G15" s="128">
        <f>IF(((-0.0037*(E15+$C$16)^2+1.152*(E15+$C$16))-(-0.0037*($C$16)^2+1.152*($C$16)))&lt;0,0,((-0.0037*(E15+$C$16)^2+1.152*(E15+$C$16))-(-0.0037*($C$16)^2+1.152*($C$16))))</f>
        <v>37.24999999999999</v>
      </c>
      <c r="H15" s="137">
        <f aca="true" t="shared" si="1" ref="H15:H23">(H$10*$G15)-($C$11*($E15))</f>
        <v>7.605731225296434</v>
      </c>
      <c r="I15" s="137">
        <f aca="true" t="shared" si="2" ref="I15:N15">(I$10*$G15)-($C$11*($E15))</f>
        <v>26.230731225296427</v>
      </c>
      <c r="J15" s="137">
        <f t="shared" si="2"/>
        <v>44.855731225296424</v>
      </c>
      <c r="K15" s="137">
        <f t="shared" si="2"/>
        <v>63.480731225296424</v>
      </c>
      <c r="L15" s="137">
        <f t="shared" si="2"/>
        <v>82.10573122529641</v>
      </c>
      <c r="M15" s="137">
        <f t="shared" si="2"/>
        <v>100.73073122529641</v>
      </c>
      <c r="N15" s="138">
        <f t="shared" si="2"/>
        <v>119.35573122529641</v>
      </c>
    </row>
    <row r="16" spans="1:14" ht="13.5">
      <c r="A16" s="16"/>
      <c r="B16" s="37" t="s">
        <v>29</v>
      </c>
      <c r="C16" s="45">
        <f>'Data Entry'!C15</f>
        <v>30</v>
      </c>
      <c r="D16" s="18"/>
      <c r="E16" s="44">
        <f>IF((E20-4*$C$12)&lt;0,0,(E20-4*$C$12))</f>
        <v>60</v>
      </c>
      <c r="F16" s="128">
        <f aca="true" t="shared" si="3" ref="F16:F23">G16+(-0.0037*($C$16)^2+1.152*($C$16))+34.75</f>
        <v>108.46</v>
      </c>
      <c r="G16" s="128">
        <f aca="true" t="shared" si="4" ref="G16:G23">IF(((-0.0037*(E16+$C$16)^2+1.152*(E16+$C$16))-(-0.0037*($C$16)^2+1.152*($C$16)))&lt;0,0,((-0.0037*(E16+$C$16)^2+1.152*(E16+$C$16))-(-0.0037*($C$16)^2+1.152*($C$16))))</f>
        <v>42.48</v>
      </c>
      <c r="H16" s="137">
        <f t="shared" si="1"/>
        <v>6.906877470355724</v>
      </c>
      <c r="I16" s="137">
        <f aca="true" t="shared" si="5" ref="I16:N23">(I$10*$G16)-($C$11*($E16))</f>
        <v>28.146877470355726</v>
      </c>
      <c r="J16" s="137">
        <f t="shared" si="5"/>
        <v>49.38687747035572</v>
      </c>
      <c r="K16" s="137">
        <f t="shared" si="5"/>
        <v>70.62687747035571</v>
      </c>
      <c r="L16" s="137">
        <f t="shared" si="5"/>
        <v>91.86687747035572</v>
      </c>
      <c r="M16" s="137">
        <f t="shared" si="5"/>
        <v>113.1068774703557</v>
      </c>
      <c r="N16" s="138">
        <f t="shared" si="5"/>
        <v>134.3468774703557</v>
      </c>
    </row>
    <row r="17" spans="1:14" ht="13.5">
      <c r="A17" s="16"/>
      <c r="B17" s="43" t="s">
        <v>30</v>
      </c>
      <c r="C17" s="46"/>
      <c r="D17" s="18"/>
      <c r="E17" s="44">
        <f>IF((E21-4*$C$12)&lt;0,0,(E21-4*$C$12))</f>
        <v>70</v>
      </c>
      <c r="F17" s="128">
        <f t="shared" si="3"/>
        <v>112.94999999999999</v>
      </c>
      <c r="G17" s="128">
        <f t="shared" si="4"/>
        <v>46.96999999999999</v>
      </c>
      <c r="H17" s="137">
        <f t="shared" si="1"/>
        <v>5.468023715415008</v>
      </c>
      <c r="I17" s="137">
        <f t="shared" si="5"/>
        <v>28.953023715415</v>
      </c>
      <c r="J17" s="137">
        <f t="shared" si="5"/>
        <v>52.438023715415</v>
      </c>
      <c r="K17" s="137">
        <f t="shared" si="5"/>
        <v>75.923023715415</v>
      </c>
      <c r="L17" s="137">
        <f t="shared" si="5"/>
        <v>99.40802371541498</v>
      </c>
      <c r="M17" s="137">
        <f t="shared" si="5"/>
        <v>122.893023715415</v>
      </c>
      <c r="N17" s="138">
        <f t="shared" si="5"/>
        <v>146.378023715415</v>
      </c>
    </row>
    <row r="18" spans="1:14" ht="14.25" thickBot="1">
      <c r="A18" s="16"/>
      <c r="B18" s="17"/>
      <c r="C18" s="18"/>
      <c r="D18" s="18"/>
      <c r="E18" s="44">
        <f>IF((E22-4*$C$12)&lt;0,0,(E22-4*$C$12))</f>
        <v>80</v>
      </c>
      <c r="F18" s="128">
        <f t="shared" si="3"/>
        <v>116.69999999999999</v>
      </c>
      <c r="G18" s="128">
        <f t="shared" si="4"/>
        <v>50.71999999999999</v>
      </c>
      <c r="H18" s="137">
        <f t="shared" si="1"/>
        <v>3.2891699604742968</v>
      </c>
      <c r="I18" s="137">
        <f t="shared" si="5"/>
        <v>28.64916996047429</v>
      </c>
      <c r="J18" s="137">
        <f t="shared" si="5"/>
        <v>54.00916996047429</v>
      </c>
      <c r="K18" s="137">
        <f t="shared" si="5"/>
        <v>79.3691699604743</v>
      </c>
      <c r="L18" s="137">
        <f t="shared" si="5"/>
        <v>104.72916996047428</v>
      </c>
      <c r="M18" s="137">
        <f t="shared" si="5"/>
        <v>130.0891699604743</v>
      </c>
      <c r="N18" s="138">
        <f t="shared" si="5"/>
        <v>155.44916996047428</v>
      </c>
    </row>
    <row r="19" spans="1:14" ht="14.25" thickBot="1">
      <c r="A19" s="16"/>
      <c r="B19" s="54"/>
      <c r="C19" s="48"/>
      <c r="D19" s="49" t="s">
        <v>13</v>
      </c>
      <c r="E19" s="50">
        <f>'Data Entry'!F10</f>
        <v>90</v>
      </c>
      <c r="F19" s="197">
        <f t="shared" si="3"/>
        <v>119.70999999999998</v>
      </c>
      <c r="G19" s="128">
        <f t="shared" si="4"/>
        <v>53.72999999999998</v>
      </c>
      <c r="H19" s="137">
        <f t="shared" si="1"/>
        <v>0.3703162055335767</v>
      </c>
      <c r="I19" s="137">
        <f t="shared" si="5"/>
        <v>27.235316205533564</v>
      </c>
      <c r="J19" s="137">
        <f t="shared" si="5"/>
        <v>54.10031620553356</v>
      </c>
      <c r="K19" s="137">
        <f t="shared" si="5"/>
        <v>80.96531620553355</v>
      </c>
      <c r="L19" s="137">
        <f t="shared" si="5"/>
        <v>107.83031620553353</v>
      </c>
      <c r="M19" s="137">
        <f t="shared" si="5"/>
        <v>134.69531620553354</v>
      </c>
      <c r="N19" s="138">
        <f t="shared" si="5"/>
        <v>161.56031620553352</v>
      </c>
    </row>
    <row r="20" spans="1:14" ht="13.5">
      <c r="A20" s="16"/>
      <c r="B20" s="17"/>
      <c r="C20" s="18"/>
      <c r="D20" s="18"/>
      <c r="E20" s="51">
        <f>E19+C12</f>
        <v>100</v>
      </c>
      <c r="F20" s="128">
        <f t="shared" si="3"/>
        <v>121.97999999999999</v>
      </c>
      <c r="G20" s="128">
        <f t="shared" si="4"/>
        <v>55.99999999999999</v>
      </c>
      <c r="H20" s="137">
        <f t="shared" si="1"/>
        <v>-3.288537549407124</v>
      </c>
      <c r="I20" s="137">
        <f t="shared" si="5"/>
        <v>24.71146245059287</v>
      </c>
      <c r="J20" s="137">
        <f t="shared" si="5"/>
        <v>52.71146245059287</v>
      </c>
      <c r="K20" s="137">
        <f t="shared" si="5"/>
        <v>80.71146245059285</v>
      </c>
      <c r="L20" s="137">
        <f t="shared" si="5"/>
        <v>108.71146245059285</v>
      </c>
      <c r="M20" s="137">
        <f t="shared" si="5"/>
        <v>136.71146245059285</v>
      </c>
      <c r="N20" s="138">
        <f t="shared" si="5"/>
        <v>164.71146245059285</v>
      </c>
    </row>
    <row r="21" spans="1:14" ht="13.5">
      <c r="A21" s="16"/>
      <c r="B21" s="17"/>
      <c r="C21" s="18"/>
      <c r="D21" s="18"/>
      <c r="E21" s="51">
        <f>E19+2*C12</f>
        <v>110</v>
      </c>
      <c r="F21" s="128">
        <f t="shared" si="3"/>
        <v>123.50999999999999</v>
      </c>
      <c r="G21" s="128">
        <f t="shared" si="4"/>
        <v>57.529999999999994</v>
      </c>
      <c r="H21" s="137">
        <f t="shared" si="1"/>
        <v>-7.687391304347834</v>
      </c>
      <c r="I21" s="137">
        <f t="shared" si="5"/>
        <v>21.07760869565216</v>
      </c>
      <c r="J21" s="137">
        <f t="shared" si="5"/>
        <v>49.84260869565216</v>
      </c>
      <c r="K21" s="137">
        <f t="shared" si="5"/>
        <v>78.60760869565216</v>
      </c>
      <c r="L21" s="137">
        <f t="shared" si="5"/>
        <v>107.37260869565215</v>
      </c>
      <c r="M21" s="137">
        <f t="shared" si="5"/>
        <v>136.13760869565215</v>
      </c>
      <c r="N21" s="138">
        <f t="shared" si="5"/>
        <v>164.90260869565213</v>
      </c>
    </row>
    <row r="22" spans="1:14" ht="13.5">
      <c r="A22" s="16"/>
      <c r="B22" s="17"/>
      <c r="C22" s="18"/>
      <c r="D22" s="18"/>
      <c r="E22" s="51">
        <f>E19+3*C12</f>
        <v>120</v>
      </c>
      <c r="F22" s="128">
        <f t="shared" si="3"/>
        <v>124.29999999999998</v>
      </c>
      <c r="G22" s="128">
        <f t="shared" si="4"/>
        <v>58.319999999999986</v>
      </c>
      <c r="H22" s="137">
        <f t="shared" si="1"/>
        <v>-12.82624505928856</v>
      </c>
      <c r="I22" s="137">
        <f t="shared" si="5"/>
        <v>16.33375494071143</v>
      </c>
      <c r="J22" s="137">
        <f t="shared" si="5"/>
        <v>45.493754940711426</v>
      </c>
      <c r="K22" s="137">
        <f t="shared" si="5"/>
        <v>74.65375494071141</v>
      </c>
      <c r="L22" s="137">
        <f t="shared" si="5"/>
        <v>103.8137549407114</v>
      </c>
      <c r="M22" s="137">
        <f t="shared" si="5"/>
        <v>132.9737549407114</v>
      </c>
      <c r="N22" s="138">
        <f t="shared" si="5"/>
        <v>162.1337549407114</v>
      </c>
    </row>
    <row r="23" spans="1:14" ht="13.5">
      <c r="A23" s="16"/>
      <c r="B23" s="17"/>
      <c r="C23" s="18"/>
      <c r="D23" s="18"/>
      <c r="E23" s="51">
        <f>E19+4*C12</f>
        <v>130</v>
      </c>
      <c r="F23" s="128">
        <f t="shared" si="3"/>
        <v>124.35</v>
      </c>
      <c r="G23" s="128">
        <f t="shared" si="4"/>
        <v>58.37</v>
      </c>
      <c r="H23" s="137">
        <f t="shared" si="1"/>
        <v>-18.705098814229252</v>
      </c>
      <c r="I23" s="137">
        <f t="shared" si="5"/>
        <v>10.479901185770743</v>
      </c>
      <c r="J23" s="137">
        <f t="shared" si="5"/>
        <v>39.664901185770745</v>
      </c>
      <c r="K23" s="137">
        <f t="shared" si="5"/>
        <v>68.84990118577073</v>
      </c>
      <c r="L23" s="137">
        <f t="shared" si="5"/>
        <v>98.03490118577074</v>
      </c>
      <c r="M23" s="137">
        <f t="shared" si="5"/>
        <v>127.21990118577074</v>
      </c>
      <c r="N23" s="138">
        <f t="shared" si="5"/>
        <v>156.40490118577074</v>
      </c>
    </row>
    <row r="24" spans="1:14" ht="13.5" customHeight="1">
      <c r="A24" s="16"/>
      <c r="B24" s="17"/>
      <c r="C24" s="18"/>
      <c r="D24" s="18"/>
      <c r="E24" s="276" t="s">
        <v>53</v>
      </c>
      <c r="F24" s="277"/>
      <c r="G24" s="277"/>
      <c r="H24" s="277"/>
      <c r="I24" s="277"/>
      <c r="J24" s="277"/>
      <c r="K24" s="277"/>
      <c r="L24" s="277"/>
      <c r="M24" s="277"/>
      <c r="N24" s="278"/>
    </row>
    <row r="25" spans="1:14" ht="9.75" customHeight="1">
      <c r="A25" s="16"/>
      <c r="B25" s="17"/>
      <c r="C25" s="18"/>
      <c r="D25" s="18"/>
      <c r="E25" s="266" t="s">
        <v>16</v>
      </c>
      <c r="F25" s="267"/>
      <c r="G25" s="267"/>
      <c r="H25" s="267"/>
      <c r="I25" s="267"/>
      <c r="J25" s="267"/>
      <c r="K25" s="267"/>
      <c r="L25" s="267"/>
      <c r="M25" s="267"/>
      <c r="N25" s="268"/>
    </row>
    <row r="26" spans="1:14" ht="9.75" customHeight="1">
      <c r="A26" s="16"/>
      <c r="B26" s="17"/>
      <c r="C26" s="18"/>
      <c r="D26" s="18"/>
      <c r="E26" s="266" t="s">
        <v>24</v>
      </c>
      <c r="F26" s="267"/>
      <c r="G26" s="267"/>
      <c r="H26" s="267"/>
      <c r="I26" s="267"/>
      <c r="J26" s="267"/>
      <c r="K26" s="267"/>
      <c r="L26" s="267"/>
      <c r="M26" s="267"/>
      <c r="N26" s="268"/>
    </row>
    <row r="27" spans="1:19" ht="11.25" customHeight="1">
      <c r="A27" s="16"/>
      <c r="B27" s="17"/>
      <c r="C27" s="18"/>
      <c r="D27" s="18"/>
      <c r="E27" s="245" t="s">
        <v>91</v>
      </c>
      <c r="F27" s="246"/>
      <c r="G27" s="246"/>
      <c r="H27" s="246"/>
      <c r="I27" s="246"/>
      <c r="J27" s="246"/>
      <c r="K27" s="247"/>
      <c r="L27" s="247"/>
      <c r="M27" s="247"/>
      <c r="N27" s="248"/>
      <c r="O27"/>
      <c r="P27"/>
      <c r="Q27"/>
      <c r="R27"/>
      <c r="S27"/>
    </row>
    <row r="28" spans="1:14" ht="12" customHeight="1" thickBot="1">
      <c r="A28" s="16"/>
      <c r="B28" s="17"/>
      <c r="C28" s="18"/>
      <c r="D28" s="18"/>
      <c r="E28" s="269" t="s">
        <v>38</v>
      </c>
      <c r="F28" s="270"/>
      <c r="G28" s="271"/>
      <c r="H28" s="271"/>
      <c r="I28" s="271"/>
      <c r="J28" s="271"/>
      <c r="K28" s="272"/>
      <c r="L28" s="272"/>
      <c r="M28" s="272"/>
      <c r="N28" s="273"/>
    </row>
    <row r="29" spans="1:14" ht="11.25" customHeight="1">
      <c r="A29" s="16"/>
      <c r="B29" s="17"/>
      <c r="C29" s="18"/>
      <c r="D29" s="18"/>
      <c r="E29" s="53"/>
      <c r="F29" s="53"/>
      <c r="G29" s="53"/>
      <c r="H29" s="53"/>
      <c r="I29" s="53"/>
      <c r="J29" s="53"/>
      <c r="K29" s="12"/>
      <c r="L29" s="12"/>
      <c r="M29" s="12"/>
      <c r="N29" s="15"/>
    </row>
    <row r="30" spans="2:14" ht="11.25" customHeight="1" thickBot="1">
      <c r="B30" s="224"/>
      <c r="C30" s="225"/>
      <c r="D30" s="225"/>
      <c r="E30" s="225"/>
      <c r="F30" s="225"/>
      <c r="G30" s="225"/>
      <c r="H30" s="225"/>
      <c r="I30" s="225"/>
      <c r="J30" s="225"/>
      <c r="K30" s="55"/>
      <c r="L30" s="55"/>
      <c r="M30" s="55"/>
      <c r="N30" s="56"/>
    </row>
    <row r="31" ht="4.5" customHeight="1" thickBot="1">
      <c r="N31" s="24"/>
    </row>
    <row r="32" spans="1:15" ht="15.75" customHeight="1" thickBot="1">
      <c r="A32" s="16"/>
      <c r="B32" s="238" t="s">
        <v>39</v>
      </c>
      <c r="C32" s="239"/>
      <c r="E32" s="18"/>
      <c r="F32" s="18"/>
      <c r="G32" s="18"/>
      <c r="H32" s="18"/>
      <c r="I32" s="19"/>
      <c r="J32" s="18"/>
      <c r="K32" s="19"/>
      <c r="L32" s="12"/>
      <c r="M32" s="12"/>
      <c r="N32" s="15"/>
      <c r="O32" s="158"/>
    </row>
    <row r="33" spans="1:15" ht="15" customHeight="1">
      <c r="A33" s="16"/>
      <c r="B33" s="87" t="s">
        <v>1</v>
      </c>
      <c r="C33" s="21" t="str">
        <f>'Data Entry'!C7</f>
        <v>UREA</v>
      </c>
      <c r="D33" s="18"/>
      <c r="F33" s="22"/>
      <c r="G33" s="222" t="s">
        <v>108</v>
      </c>
      <c r="H33" s="23"/>
      <c r="I33" s="262" t="s">
        <v>22</v>
      </c>
      <c r="J33" s="263"/>
      <c r="K33" s="263"/>
      <c r="L33" s="263"/>
      <c r="M33" s="263"/>
      <c r="N33" s="24"/>
      <c r="O33" s="158"/>
    </row>
    <row r="34" spans="1:15" ht="13.5">
      <c r="A34" s="16"/>
      <c r="B34" s="20" t="s">
        <v>3</v>
      </c>
      <c r="C34" s="184">
        <f>'Data Entry'!C8</f>
        <v>600</v>
      </c>
      <c r="D34" s="18"/>
      <c r="F34" s="17"/>
      <c r="G34" s="223"/>
      <c r="H34" s="18"/>
      <c r="I34" s="19"/>
      <c r="J34" s="18"/>
      <c r="K34" s="19"/>
      <c r="L34" s="12"/>
      <c r="M34" s="12"/>
      <c r="N34" s="15"/>
      <c r="O34" s="158"/>
    </row>
    <row r="35" spans="1:15" ht="13.5">
      <c r="A35" s="16"/>
      <c r="B35" s="20" t="s">
        <v>4</v>
      </c>
      <c r="C35" s="25">
        <f>'Data Entry'!C9</f>
        <v>46</v>
      </c>
      <c r="D35" s="18"/>
      <c r="F35" s="17"/>
      <c r="G35" s="223"/>
      <c r="H35" s="26">
        <f>K35-C39*3</f>
        <v>1</v>
      </c>
      <c r="I35" s="26">
        <f>K35-C39*2</f>
        <v>1.5</v>
      </c>
      <c r="J35" s="26">
        <f>K35-C39</f>
        <v>2</v>
      </c>
      <c r="K35" s="27">
        <f>'Data Entry'!F15</f>
        <v>2.5</v>
      </c>
      <c r="L35" s="26">
        <f>K35+C39</f>
        <v>3</v>
      </c>
      <c r="M35" s="26">
        <f>K35+C39*2</f>
        <v>3.5</v>
      </c>
      <c r="N35" s="28">
        <f>K35+C39*3</f>
        <v>4</v>
      </c>
      <c r="O35" s="158"/>
    </row>
    <row r="36" spans="1:15" ht="13.5">
      <c r="A36" s="16"/>
      <c r="B36" s="20" t="s">
        <v>5</v>
      </c>
      <c r="C36" s="61">
        <f>(C34/((C35/100)*2200))</f>
        <v>0.5928853754940712</v>
      </c>
      <c r="D36" s="18"/>
      <c r="F36" s="17"/>
      <c r="G36" s="29" t="s">
        <v>6</v>
      </c>
      <c r="H36" s="18"/>
      <c r="I36" s="18"/>
      <c r="J36" s="18"/>
      <c r="K36" s="12"/>
      <c r="L36" s="12"/>
      <c r="M36" s="12"/>
      <c r="N36" s="15"/>
      <c r="O36" s="158"/>
    </row>
    <row r="37" spans="1:19" ht="13.5">
      <c r="A37" s="16"/>
      <c r="B37" s="30" t="s">
        <v>20</v>
      </c>
      <c r="C37" s="31">
        <f>'Data Entry'!C11</f>
        <v>10</v>
      </c>
      <c r="D37" s="18"/>
      <c r="F37" s="32"/>
      <c r="G37" s="70" t="s">
        <v>67</v>
      </c>
      <c r="H37" s="264" t="s">
        <v>8</v>
      </c>
      <c r="I37" s="264"/>
      <c r="J37" s="264"/>
      <c r="K37" s="264"/>
      <c r="L37" s="264"/>
      <c r="M37" s="264"/>
      <c r="N37" s="265"/>
      <c r="O37" s="156"/>
      <c r="P37"/>
      <c r="Q37"/>
      <c r="R37"/>
      <c r="S37"/>
    </row>
    <row r="38" spans="1:19" ht="14.25" thickBot="1">
      <c r="A38" s="16"/>
      <c r="B38" s="33" t="s">
        <v>113</v>
      </c>
      <c r="C38" s="34"/>
      <c r="D38" s="18"/>
      <c r="F38" s="35" t="s">
        <v>9</v>
      </c>
      <c r="G38" s="73" t="s">
        <v>68</v>
      </c>
      <c r="H38" s="228" t="s">
        <v>23</v>
      </c>
      <c r="I38" s="228"/>
      <c r="J38" s="228"/>
      <c r="K38" s="228"/>
      <c r="L38" s="228"/>
      <c r="M38" s="228"/>
      <c r="N38" s="229"/>
      <c r="O38" s="156"/>
      <c r="P38"/>
      <c r="Q38"/>
      <c r="R38"/>
      <c r="S38"/>
    </row>
    <row r="39" spans="1:19" ht="13.5">
      <c r="A39" s="16"/>
      <c r="B39" s="37" t="s">
        <v>115</v>
      </c>
      <c r="C39" s="57">
        <f>'Data Entry'!C13</f>
        <v>0.5</v>
      </c>
      <c r="D39" s="18"/>
      <c r="F39" s="39" t="s">
        <v>11</v>
      </c>
      <c r="G39" s="75" t="s">
        <v>12</v>
      </c>
      <c r="H39" s="41">
        <f aca="true" t="shared" si="6" ref="H39:N39">H35/$C$11</f>
        <v>1.6866666666666665</v>
      </c>
      <c r="I39" s="41">
        <f t="shared" si="6"/>
        <v>2.53</v>
      </c>
      <c r="J39" s="41">
        <f t="shared" si="6"/>
        <v>3.373333333333333</v>
      </c>
      <c r="K39" s="41">
        <f t="shared" si="6"/>
        <v>4.216666666666667</v>
      </c>
      <c r="L39" s="41">
        <f t="shared" si="6"/>
        <v>5.06</v>
      </c>
      <c r="M39" s="41">
        <f t="shared" si="6"/>
        <v>5.903333333333333</v>
      </c>
      <c r="N39" s="42">
        <f t="shared" si="6"/>
        <v>6.746666666666666</v>
      </c>
      <c r="O39" s="156"/>
      <c r="P39"/>
      <c r="Q39"/>
      <c r="R39"/>
      <c r="S39"/>
    </row>
    <row r="40" spans="1:19" ht="13.5">
      <c r="A40" s="16"/>
      <c r="B40" s="43" t="s">
        <v>28</v>
      </c>
      <c r="C40" s="34"/>
      <c r="D40" s="18"/>
      <c r="F40" s="44">
        <f>IF((F44-4*$C$12)&lt;0,0,(F44-4*$C$12))</f>
        <v>30</v>
      </c>
      <c r="G40" s="128">
        <f>G15+(-0.0037*($C$16)^2+1.152*($C$16))+34.75</f>
        <v>103.22999999999999</v>
      </c>
      <c r="H40" s="137">
        <f aca="true" t="shared" si="7" ref="H40:N40">(H$10*$G40)-($C$11*($F40))</f>
        <v>85.44343873517785</v>
      </c>
      <c r="I40" s="137">
        <f t="shared" si="7"/>
        <v>137.05843873517784</v>
      </c>
      <c r="J40" s="137">
        <f t="shared" si="7"/>
        <v>188.67343873517785</v>
      </c>
      <c r="K40" s="137">
        <f t="shared" si="7"/>
        <v>240.28843873517786</v>
      </c>
      <c r="L40" s="137">
        <f t="shared" si="7"/>
        <v>291.9034387351778</v>
      </c>
      <c r="M40" s="137">
        <f t="shared" si="7"/>
        <v>343.5184387351778</v>
      </c>
      <c r="N40" s="138">
        <f t="shared" si="7"/>
        <v>395.13343873517783</v>
      </c>
      <c r="O40" s="156"/>
      <c r="P40"/>
      <c r="Q40"/>
      <c r="R40"/>
      <c r="S40"/>
    </row>
    <row r="41" spans="1:19" ht="13.5">
      <c r="A41" s="16"/>
      <c r="B41" s="37" t="s">
        <v>29</v>
      </c>
      <c r="C41" s="45">
        <f>'Data Entry'!C15</f>
        <v>30</v>
      </c>
      <c r="D41" s="18"/>
      <c r="F41" s="44">
        <f>IF((F45-4*$C$12)&lt;0,0,(F45-4*$C$12))</f>
        <v>40</v>
      </c>
      <c r="G41" s="128">
        <f aca="true" t="shared" si="8" ref="G41:G48">G16+(-0.0037*($C$16)^2+1.152*($C$16))+34.75</f>
        <v>108.46</v>
      </c>
      <c r="H41" s="137">
        <f aca="true" t="shared" si="9" ref="H41:N48">(H$10*$G41)-($C$11*($F41))</f>
        <v>84.74458498023715</v>
      </c>
      <c r="I41" s="137">
        <f t="shared" si="9"/>
        <v>138.97458498023715</v>
      </c>
      <c r="J41" s="137">
        <f t="shared" si="9"/>
        <v>193.20458498023714</v>
      </c>
      <c r="K41" s="137">
        <f t="shared" si="9"/>
        <v>247.43458498023713</v>
      </c>
      <c r="L41" s="137">
        <f t="shared" si="9"/>
        <v>301.6645849802371</v>
      </c>
      <c r="M41" s="137">
        <f t="shared" si="9"/>
        <v>355.8945849802371</v>
      </c>
      <c r="N41" s="138">
        <f t="shared" si="9"/>
        <v>410.1245849802371</v>
      </c>
      <c r="O41" s="156"/>
      <c r="P41"/>
      <c r="Q41"/>
      <c r="R41"/>
      <c r="S41"/>
    </row>
    <row r="42" spans="1:19" ht="13.5">
      <c r="A42" s="16"/>
      <c r="B42" s="43" t="s">
        <v>30</v>
      </c>
      <c r="C42" s="46"/>
      <c r="D42" s="18"/>
      <c r="F42" s="44">
        <f>IF((F46-4*$C$12)&lt;0,0,(F46-4*$C$12))</f>
        <v>50</v>
      </c>
      <c r="G42" s="128">
        <f t="shared" si="8"/>
        <v>112.94999999999999</v>
      </c>
      <c r="H42" s="137">
        <f t="shared" si="9"/>
        <v>83.30573122529643</v>
      </c>
      <c r="I42" s="137">
        <f t="shared" si="9"/>
        <v>139.78073122529642</v>
      </c>
      <c r="J42" s="137">
        <f t="shared" si="9"/>
        <v>196.25573122529642</v>
      </c>
      <c r="K42" s="137">
        <f t="shared" si="9"/>
        <v>252.73073122529644</v>
      </c>
      <c r="L42" s="137">
        <f t="shared" si="9"/>
        <v>309.2057312252964</v>
      </c>
      <c r="M42" s="137">
        <f t="shared" si="9"/>
        <v>365.68073122529637</v>
      </c>
      <c r="N42" s="138">
        <f t="shared" si="9"/>
        <v>422.1557312252964</v>
      </c>
      <c r="O42" s="156"/>
      <c r="P42"/>
      <c r="Q42"/>
      <c r="R42"/>
      <c r="S42"/>
    </row>
    <row r="43" spans="1:19" ht="14.25" thickBot="1">
      <c r="A43" s="16"/>
      <c r="B43" s="17"/>
      <c r="C43" s="18"/>
      <c r="D43" s="18"/>
      <c r="F43" s="44">
        <f>IF((F47-4*$C$12)&lt;0,0,(F47-4*$C$12))</f>
        <v>60</v>
      </c>
      <c r="G43" s="128">
        <f t="shared" si="8"/>
        <v>116.69999999999999</v>
      </c>
      <c r="H43" s="137">
        <f t="shared" si="9"/>
        <v>81.12687747035571</v>
      </c>
      <c r="I43" s="137">
        <f t="shared" si="9"/>
        <v>139.4768774703557</v>
      </c>
      <c r="J43" s="137">
        <f t="shared" si="9"/>
        <v>197.8268774703557</v>
      </c>
      <c r="K43" s="137">
        <f t="shared" si="9"/>
        <v>256.17687747035575</v>
      </c>
      <c r="L43" s="137">
        <f t="shared" si="9"/>
        <v>314.5268774703557</v>
      </c>
      <c r="M43" s="137">
        <f t="shared" si="9"/>
        <v>372.8768774703557</v>
      </c>
      <c r="N43" s="138">
        <f t="shared" si="9"/>
        <v>431.2268774703557</v>
      </c>
      <c r="O43" s="156"/>
      <c r="P43"/>
      <c r="Q43"/>
      <c r="R43"/>
      <c r="S43"/>
    </row>
    <row r="44" spans="1:19" ht="14.25" thickBot="1">
      <c r="A44" s="16"/>
      <c r="B44" s="47"/>
      <c r="C44" s="48"/>
      <c r="E44" s="49" t="s">
        <v>13</v>
      </c>
      <c r="F44" s="50">
        <f>'Data Entry'!G9</f>
        <v>70</v>
      </c>
      <c r="G44" s="128">
        <f t="shared" si="8"/>
        <v>119.70999999999998</v>
      </c>
      <c r="H44" s="137">
        <f>(H$10*$G44)-($C$11*($F44))</f>
        <v>78.208023715415</v>
      </c>
      <c r="I44" s="137">
        <f t="shared" si="9"/>
        <v>138.063023715415</v>
      </c>
      <c r="J44" s="137">
        <f t="shared" si="9"/>
        <v>197.91802371541496</v>
      </c>
      <c r="K44" s="137">
        <f t="shared" si="9"/>
        <v>257.773023715415</v>
      </c>
      <c r="L44" s="137">
        <f t="shared" si="9"/>
        <v>317.62802371541494</v>
      </c>
      <c r="M44" s="137">
        <f t="shared" si="9"/>
        <v>377.4830237154149</v>
      </c>
      <c r="N44" s="138">
        <f t="shared" si="9"/>
        <v>437.3380237154149</v>
      </c>
      <c r="O44" s="156"/>
      <c r="P44"/>
      <c r="Q44"/>
      <c r="R44"/>
      <c r="S44"/>
    </row>
    <row r="45" spans="1:19" ht="13.5">
      <c r="A45" s="16"/>
      <c r="B45" s="17"/>
      <c r="C45" s="18"/>
      <c r="D45" s="18"/>
      <c r="F45" s="51">
        <f>F44+C37</f>
        <v>80</v>
      </c>
      <c r="G45" s="128">
        <f t="shared" si="8"/>
        <v>121.97999999999999</v>
      </c>
      <c r="H45" s="137">
        <f t="shared" si="9"/>
        <v>74.5491699604743</v>
      </c>
      <c r="I45" s="137">
        <f t="shared" si="9"/>
        <v>135.53916996047428</v>
      </c>
      <c r="J45" s="137">
        <f t="shared" si="9"/>
        <v>196.5291699604743</v>
      </c>
      <c r="K45" s="137">
        <f t="shared" si="9"/>
        <v>257.5191699604743</v>
      </c>
      <c r="L45" s="137">
        <f t="shared" si="9"/>
        <v>318.50916996047425</v>
      </c>
      <c r="M45" s="137">
        <f t="shared" si="9"/>
        <v>379.49916996047426</v>
      </c>
      <c r="N45" s="138">
        <f t="shared" si="9"/>
        <v>440.48916996047427</v>
      </c>
      <c r="O45" s="156"/>
      <c r="P45"/>
      <c r="Q45"/>
      <c r="R45"/>
      <c r="S45"/>
    </row>
    <row r="46" spans="1:19" ht="13.5">
      <c r="A46" s="16"/>
      <c r="B46" s="17"/>
      <c r="C46" s="52"/>
      <c r="D46" s="18"/>
      <c r="F46" s="51">
        <f>F44+2*C37</f>
        <v>90</v>
      </c>
      <c r="G46" s="128">
        <f t="shared" si="8"/>
        <v>123.50999999999999</v>
      </c>
      <c r="H46" s="137">
        <f>(H$10*$G46)-($C$11*($F46))</f>
        <v>70.15031620553358</v>
      </c>
      <c r="I46" s="137">
        <f t="shared" si="9"/>
        <v>131.90531620553358</v>
      </c>
      <c r="J46" s="137">
        <f t="shared" si="9"/>
        <v>193.66031620553358</v>
      </c>
      <c r="K46" s="137">
        <f t="shared" si="9"/>
        <v>255.41531620553357</v>
      </c>
      <c r="L46" s="137">
        <f t="shared" si="9"/>
        <v>317.1703162055336</v>
      </c>
      <c r="M46" s="137">
        <f t="shared" si="9"/>
        <v>378.9253162055336</v>
      </c>
      <c r="N46" s="138">
        <f t="shared" si="9"/>
        <v>440.6803162055336</v>
      </c>
      <c r="O46" s="156"/>
      <c r="P46"/>
      <c r="Q46"/>
      <c r="R46"/>
      <c r="S46"/>
    </row>
    <row r="47" spans="1:19" ht="13.5">
      <c r="A47" s="16"/>
      <c r="B47" s="17"/>
      <c r="C47" s="18"/>
      <c r="D47" s="18"/>
      <c r="F47" s="51">
        <f>F44+3*C37</f>
        <v>100</v>
      </c>
      <c r="G47" s="128">
        <f t="shared" si="8"/>
        <v>124.29999999999998</v>
      </c>
      <c r="H47" s="137">
        <f t="shared" si="9"/>
        <v>65.01146245059286</v>
      </c>
      <c r="I47" s="137">
        <f t="shared" si="9"/>
        <v>127.16146245059286</v>
      </c>
      <c r="J47" s="137">
        <f t="shared" si="9"/>
        <v>189.31146245059284</v>
      </c>
      <c r="K47" s="137">
        <f t="shared" si="9"/>
        <v>251.46146245059282</v>
      </c>
      <c r="L47" s="137">
        <f t="shared" si="9"/>
        <v>313.61146245059285</v>
      </c>
      <c r="M47" s="137">
        <f t="shared" si="9"/>
        <v>375.76146245059283</v>
      </c>
      <c r="N47" s="138">
        <f t="shared" si="9"/>
        <v>437.9114624505928</v>
      </c>
      <c r="O47" s="156"/>
      <c r="P47"/>
      <c r="Q47"/>
      <c r="R47"/>
      <c r="S47"/>
    </row>
    <row r="48" spans="1:19" ht="13.5">
      <c r="A48" s="16"/>
      <c r="B48" s="17"/>
      <c r="C48" s="18"/>
      <c r="D48" s="18"/>
      <c r="F48" s="51">
        <f>F44+4*C37</f>
        <v>110</v>
      </c>
      <c r="G48" s="128">
        <f t="shared" si="8"/>
        <v>124.35</v>
      </c>
      <c r="H48" s="137">
        <f t="shared" si="9"/>
        <v>59.132608695652166</v>
      </c>
      <c r="I48" s="137">
        <f t="shared" si="9"/>
        <v>121.30760869565215</v>
      </c>
      <c r="J48" s="137">
        <f t="shared" si="9"/>
        <v>183.48260869565217</v>
      </c>
      <c r="K48" s="137">
        <f t="shared" si="9"/>
        <v>245.6576086956522</v>
      </c>
      <c r="L48" s="137">
        <f t="shared" si="9"/>
        <v>307.83260869565214</v>
      </c>
      <c r="M48" s="137">
        <f t="shared" si="9"/>
        <v>370.00760869565215</v>
      </c>
      <c r="N48" s="138">
        <f t="shared" si="9"/>
        <v>432.18260869565216</v>
      </c>
      <c r="O48" s="156"/>
      <c r="P48"/>
      <c r="Q48"/>
      <c r="R48"/>
      <c r="S48"/>
    </row>
    <row r="49" spans="1:19" ht="13.5" customHeight="1">
      <c r="A49" s="16"/>
      <c r="B49" s="17"/>
      <c r="C49" s="18"/>
      <c r="D49" s="18"/>
      <c r="F49" s="185" t="s">
        <v>53</v>
      </c>
      <c r="G49" s="178"/>
      <c r="H49" s="178"/>
      <c r="I49" s="178"/>
      <c r="J49" s="178"/>
      <c r="K49" s="178"/>
      <c r="L49" s="178"/>
      <c r="M49" s="178"/>
      <c r="N49" s="179"/>
      <c r="O49" s="156"/>
      <c r="P49"/>
      <c r="Q49"/>
      <c r="R49"/>
      <c r="S49"/>
    </row>
    <row r="50" spans="1:19" ht="9.75" customHeight="1">
      <c r="A50" s="16"/>
      <c r="B50" s="17"/>
      <c r="C50" s="18"/>
      <c r="D50" s="18"/>
      <c r="F50" s="188" t="s">
        <v>16</v>
      </c>
      <c r="G50" s="180"/>
      <c r="H50" s="180"/>
      <c r="I50" s="180"/>
      <c r="J50" s="180"/>
      <c r="K50" s="180"/>
      <c r="L50" s="180"/>
      <c r="M50" s="180"/>
      <c r="N50" s="181"/>
      <c r="O50" s="156"/>
      <c r="P50"/>
      <c r="Q50"/>
      <c r="R50"/>
      <c r="S50"/>
    </row>
    <row r="51" spans="1:19" ht="9.75" customHeight="1">
      <c r="A51" s="16"/>
      <c r="B51" s="17"/>
      <c r="C51" s="18"/>
      <c r="D51" s="18"/>
      <c r="F51" s="188" t="s">
        <v>107</v>
      </c>
      <c r="G51" s="180"/>
      <c r="H51" s="180"/>
      <c r="I51" s="180"/>
      <c r="J51" s="180"/>
      <c r="K51" s="180"/>
      <c r="L51" s="180"/>
      <c r="M51" s="180"/>
      <c r="N51" s="181"/>
      <c r="O51" s="156"/>
      <c r="P51"/>
      <c r="Q51"/>
      <c r="R51"/>
      <c r="S51"/>
    </row>
    <row r="52" spans="1:19" ht="11.25" customHeight="1">
      <c r="A52" s="16"/>
      <c r="B52" s="17"/>
      <c r="C52" s="18"/>
      <c r="D52" s="18"/>
      <c r="F52" s="79" t="s">
        <v>111</v>
      </c>
      <c r="G52" s="80"/>
      <c r="H52" s="80"/>
      <c r="I52" s="80"/>
      <c r="J52" s="80"/>
      <c r="K52" s="132"/>
      <c r="L52" s="132"/>
      <c r="M52" s="132"/>
      <c r="N52" s="171"/>
      <c r="O52" s="156"/>
      <c r="P52"/>
      <c r="Q52"/>
      <c r="R52"/>
      <c r="S52"/>
    </row>
    <row r="53" spans="1:19" ht="12" customHeight="1" thickBot="1">
      <c r="A53" s="16"/>
      <c r="B53" s="17"/>
      <c r="C53" s="18"/>
      <c r="D53" s="18"/>
      <c r="F53" s="191" t="s">
        <v>38</v>
      </c>
      <c r="G53" s="182"/>
      <c r="H53" s="183"/>
      <c r="I53" s="183"/>
      <c r="J53" s="183"/>
      <c r="K53" s="175"/>
      <c r="L53" s="175"/>
      <c r="M53" s="175"/>
      <c r="N53" s="176"/>
      <c r="O53" s="156"/>
      <c r="P53"/>
      <c r="Q53"/>
      <c r="R53"/>
      <c r="S53"/>
    </row>
    <row r="54" spans="1:19" ht="11.25" customHeight="1">
      <c r="A54" s="16"/>
      <c r="B54" s="17"/>
      <c r="C54" s="18"/>
      <c r="D54" s="18"/>
      <c r="E54" s="53"/>
      <c r="F54" s="53"/>
      <c r="G54" s="53"/>
      <c r="H54" s="53"/>
      <c r="I54" s="53"/>
      <c r="J54" s="53"/>
      <c r="K54" s="12"/>
      <c r="L54" s="12"/>
      <c r="M54" s="12"/>
      <c r="N54" s="15"/>
      <c r="O54" s="156"/>
      <c r="P54"/>
      <c r="Q54"/>
      <c r="R54"/>
      <c r="S54"/>
    </row>
    <row r="55" spans="2:19" ht="11.25" customHeight="1" thickBot="1">
      <c r="B55" s="224"/>
      <c r="C55" s="225"/>
      <c r="D55" s="225"/>
      <c r="E55" s="225"/>
      <c r="F55" s="225"/>
      <c r="G55" s="225"/>
      <c r="H55" s="225"/>
      <c r="I55" s="225"/>
      <c r="J55" s="225"/>
      <c r="K55" s="55"/>
      <c r="L55" s="55"/>
      <c r="M55" s="55"/>
      <c r="N55" s="56"/>
      <c r="O55" s="156"/>
      <c r="P55"/>
      <c r="Q55"/>
      <c r="R55"/>
      <c r="S55"/>
    </row>
    <row r="56" spans="15:19" ht="12.75">
      <c r="O56" s="156"/>
      <c r="P56"/>
      <c r="Q56"/>
      <c r="R56"/>
      <c r="S56"/>
    </row>
  </sheetData>
  <sheetProtection/>
  <mergeCells count="20">
    <mergeCell ref="B2:N2"/>
    <mergeCell ref="B3:N3"/>
    <mergeCell ref="B5:D5"/>
    <mergeCell ref="B7:C7"/>
    <mergeCell ref="B30:J30"/>
    <mergeCell ref="E25:N25"/>
    <mergeCell ref="E26:N26"/>
    <mergeCell ref="I8:M8"/>
    <mergeCell ref="H12:N12"/>
    <mergeCell ref="H13:N13"/>
    <mergeCell ref="H38:N38"/>
    <mergeCell ref="B55:J55"/>
    <mergeCell ref="G8:G10"/>
    <mergeCell ref="B32:C32"/>
    <mergeCell ref="G33:G35"/>
    <mergeCell ref="I33:M33"/>
    <mergeCell ref="H37:N37"/>
    <mergeCell ref="E24:N24"/>
    <mergeCell ref="E27:N27"/>
    <mergeCell ref="E28:N28"/>
  </mergeCells>
  <conditionalFormatting sqref="I15:I23">
    <cfRule type="cellIs" priority="1" dxfId="2" operator="between" stopIfTrue="1">
      <formula>MAX($I$15:$I$23)-0.5</formula>
      <formula>MAX($I$15:$I$23)+0.5</formula>
    </cfRule>
    <cfRule type="cellIs" priority="2" dxfId="0" operator="between" stopIfTrue="1">
      <formula>MAX($I$15:$I$23)-0.5</formula>
      <formula>MAX($I$15:$I$23)-1.5</formula>
    </cfRule>
    <cfRule type="cellIs" priority="3" dxfId="0" operator="between" stopIfTrue="1">
      <formula>MAX($I$15:$I$23)+0.5</formula>
      <formula>MAX($I$15:$I$23)+1.5</formula>
    </cfRule>
  </conditionalFormatting>
  <conditionalFormatting sqref="J15:J23">
    <cfRule type="cellIs" priority="4" dxfId="2" operator="between" stopIfTrue="1">
      <formula>MAX($J$15:$J$23)-0.5</formula>
      <formula>MAX($J$15:$J$23)+0.5</formula>
    </cfRule>
    <cfRule type="cellIs" priority="5" dxfId="0" operator="between" stopIfTrue="1">
      <formula>MAX($J$15:$J$23)-0.5</formula>
      <formula>MAX($J$15:$J$23)-1.5</formula>
    </cfRule>
    <cfRule type="cellIs" priority="6" dxfId="0" operator="between" stopIfTrue="1">
      <formula>MAX($J$15:$J$23)+0.5</formula>
      <formula>MAX($J$15:$J$23)+1.5</formula>
    </cfRule>
  </conditionalFormatting>
  <conditionalFormatting sqref="K15:K23">
    <cfRule type="cellIs" priority="7" dxfId="2" operator="between" stopIfTrue="1">
      <formula>MAX($K$15:$K$23)-0.5</formula>
      <formula>MAX($K$15:$K$23)+0.5</formula>
    </cfRule>
    <cfRule type="cellIs" priority="8" dxfId="0" operator="between" stopIfTrue="1">
      <formula>MAX($K$15:$K$23)-0.5</formula>
      <formula>MAX($K$15:$K$23)-1.5</formula>
    </cfRule>
    <cfRule type="cellIs" priority="9" dxfId="0" operator="between" stopIfTrue="1">
      <formula>MAX($K$15:$K$23)+0.5</formula>
      <formula>MAX($K$15:$K$23)+1.5</formula>
    </cfRule>
  </conditionalFormatting>
  <conditionalFormatting sqref="L15:L23">
    <cfRule type="cellIs" priority="10" dxfId="2" operator="between" stopIfTrue="1">
      <formula>MAX($L$15:$L$23)-0.5</formula>
      <formula>MAX($L$15:$L$23)+0.5</formula>
    </cfRule>
    <cfRule type="cellIs" priority="11" dxfId="0" operator="between" stopIfTrue="1">
      <formula>MAX($L$15:$L$23)-0.5</formula>
      <formula>MAX($L$15:$L$23)-1.5</formula>
    </cfRule>
    <cfRule type="cellIs" priority="12" dxfId="0" operator="between" stopIfTrue="1">
      <formula>MAX($L$15:$L$23+0.5)</formula>
      <formula>MAX($L$15:$L$23)+1.5</formula>
    </cfRule>
  </conditionalFormatting>
  <conditionalFormatting sqref="M15:M23">
    <cfRule type="cellIs" priority="13" dxfId="2" operator="between" stopIfTrue="1">
      <formula>MAX($M$15:$M$23)-0.5</formula>
      <formula>":$M$23)+0.5"</formula>
    </cfRule>
    <cfRule type="cellIs" priority="14" dxfId="0" operator="between" stopIfTrue="1">
      <formula>MAX($M$15:$M$23)-0.5</formula>
      <formula>MAX($M$15:$M$23)-1.5</formula>
    </cfRule>
    <cfRule type="cellIs" priority="15" dxfId="0" operator="between" stopIfTrue="1">
      <formula>MAX($M$15:$M$23)+0.5</formula>
      <formula>MAX($M$15:$M$23)+1.5</formula>
    </cfRule>
  </conditionalFormatting>
  <conditionalFormatting sqref="N15:N23">
    <cfRule type="cellIs" priority="16" dxfId="2" operator="between" stopIfTrue="1">
      <formula>MAX($N$15:$N$23)-0.5</formula>
      <formula>MAX($N$15:$N$23)+0.5</formula>
    </cfRule>
    <cfRule type="cellIs" priority="17" dxfId="0" operator="between" stopIfTrue="1">
      <formula>MAX($N$15:$N$23)-0.5</formula>
      <formula>MAX($N$15:$N$23)-1.5</formula>
    </cfRule>
    <cfRule type="cellIs" priority="18" dxfId="0" operator="between" stopIfTrue="1">
      <formula>MAX($N$15:$N$23)+0.5</formula>
      <formula>MAX($N$15:$N$23)+1.5</formula>
    </cfRule>
  </conditionalFormatting>
  <conditionalFormatting sqref="H15:H23">
    <cfRule type="cellIs" priority="19" dxfId="2" operator="between" stopIfTrue="1">
      <formula>MAX($H$15:$H$23)-0.5</formula>
      <formula>MAX($H$15:$H$23)+0.5</formula>
    </cfRule>
    <cfRule type="cellIs" priority="20" dxfId="0" operator="between" stopIfTrue="1">
      <formula>MAX($H$15:$H$23)-1.5</formula>
      <formula>MAX($H$15:$H$23)-0.5</formula>
    </cfRule>
    <cfRule type="cellIs" priority="21" dxfId="0" operator="between" stopIfTrue="1">
      <formula>MAX($H$15:$H$23)+0.5</formula>
      <formula>MAX($H$15:$H$23)+1.5</formula>
    </cfRule>
  </conditionalFormatting>
  <conditionalFormatting sqref="H40:H48">
    <cfRule type="cellIs" priority="22" dxfId="2" operator="equal" stopIfTrue="1">
      <formula>MAX($H$40:$H$48)</formula>
    </cfRule>
    <cfRule type="cellIs" priority="23" dxfId="0" operator="between" stopIfTrue="1">
      <formula>MAX($H$40:$H$48)</formula>
      <formula>MAX($H$40:$H$50)-1</formula>
    </cfRule>
    <cfRule type="cellIs" priority="24" dxfId="0" operator="between" stopIfTrue="1">
      <formula>MAX($H$40:$H$48)</formula>
      <formula>MAX($H$40:$H$50)+1</formula>
    </cfRule>
  </conditionalFormatting>
  <conditionalFormatting sqref="I40:I48">
    <cfRule type="cellIs" priority="25" dxfId="2" operator="equal" stopIfTrue="1">
      <formula>MAX($I$40:$I$48)</formula>
    </cfRule>
    <cfRule type="cellIs" priority="26" dxfId="0" operator="between" stopIfTrue="1">
      <formula>MAX($I$40:$I$48)</formula>
      <formula>MAX($I$40:$I$48)-1</formula>
    </cfRule>
    <cfRule type="cellIs" priority="27" dxfId="0" operator="between" stopIfTrue="1">
      <formula>MAX($I$40:$I$48)</formula>
      <formula>MAX($I$40:$I$48)+1</formula>
    </cfRule>
  </conditionalFormatting>
  <conditionalFormatting sqref="J40:J48">
    <cfRule type="cellIs" priority="28" dxfId="2" operator="equal" stopIfTrue="1">
      <formula>MAX($J$40:$J$48)</formula>
    </cfRule>
    <cfRule type="cellIs" priority="29" dxfId="0" operator="between" stopIfTrue="1">
      <formula>MAX($J$40:$J$48)</formula>
      <formula>MAX($J$40:$J$48)-1</formula>
    </cfRule>
    <cfRule type="cellIs" priority="30" dxfId="0" operator="between" stopIfTrue="1">
      <formula>MAX($J$40:$J$48)</formula>
      <formula>MAX($J$40:$J$48)+1</formula>
    </cfRule>
  </conditionalFormatting>
  <conditionalFormatting sqref="K40:K48">
    <cfRule type="cellIs" priority="31" dxfId="2" operator="equal" stopIfTrue="1">
      <formula>MAX($K$40:$K$48)</formula>
    </cfRule>
    <cfRule type="cellIs" priority="32" dxfId="0" operator="between" stopIfTrue="1">
      <formula>MAX($K$40:$K$48)</formula>
      <formula>MAX($K$40:$K$48)-1</formula>
    </cfRule>
    <cfRule type="cellIs" priority="33" dxfId="0" operator="between" stopIfTrue="1">
      <formula>MAX($K$40:$K$48)</formula>
      <formula>MAX($K$40:$K$48)+1</formula>
    </cfRule>
  </conditionalFormatting>
  <conditionalFormatting sqref="L40:L48">
    <cfRule type="cellIs" priority="34" dxfId="2" operator="equal" stopIfTrue="1">
      <formula>MAX($L$40:$L$48)</formula>
    </cfRule>
    <cfRule type="cellIs" priority="35" dxfId="0" operator="between" stopIfTrue="1">
      <formula>MAX($L$40:$L$48)</formula>
      <formula>MAX($L$40:$L$48)-1</formula>
    </cfRule>
    <cfRule type="cellIs" priority="36" dxfId="0" operator="between" stopIfTrue="1">
      <formula>MAX($L$40:$L$48)</formula>
      <formula>MAX($L$40:$L$48)+1</formula>
    </cfRule>
  </conditionalFormatting>
  <conditionalFormatting sqref="M40:M48">
    <cfRule type="cellIs" priority="37" dxfId="2" operator="equal" stopIfTrue="1">
      <formula>MAX($M$40:$M$48)</formula>
    </cfRule>
    <cfRule type="cellIs" priority="38" dxfId="0" operator="between" stopIfTrue="1">
      <formula>MAX($M$40:$M$48)</formula>
      <formula>MAX($M$40:$M$48)-1</formula>
    </cfRule>
    <cfRule type="cellIs" priority="39" dxfId="0" operator="between" stopIfTrue="1">
      <formula>MAX($M$40:$M$48)</formula>
      <formula>MAX($M$40:$M$48)+1</formula>
    </cfRule>
  </conditionalFormatting>
  <conditionalFormatting sqref="N40:N48">
    <cfRule type="cellIs" priority="40" dxfId="2" operator="equal" stopIfTrue="1">
      <formula>MAX($N$40:$N$48)</formula>
    </cfRule>
    <cfRule type="cellIs" priority="41" dxfId="0" operator="between" stopIfTrue="1">
      <formula>MAX($N$40:$N$48)</formula>
      <formula>MAX($N$40:$N$48)-1</formula>
    </cfRule>
    <cfRule type="cellIs" priority="42" dxfId="0" operator="between" stopIfTrue="1">
      <formula>MAX($N$40:$N$48)</formula>
      <formula>MAX($N$40:$N$48)+1</formula>
    </cfRule>
  </conditionalFormatting>
  <hyperlinks>
    <hyperlink ref="O2" location="'Barley (Moist) MR'!A1" display="Go to Marginal Return Chart"/>
    <hyperlink ref="O3" location="'Barley (Moist) Fertilizer'!A1" display="Go to Fertilizer Price as a Variable"/>
    <hyperlink ref="O5" location="'Data Entry'!A1" display="Return to Data Entry"/>
    <hyperlink ref="G33" location="'Wheat crop price'!D47" display="Go to Total Net Return"/>
    <hyperlink ref="G33:G35" location="'Barley (Moist) Crop'!D1" display="Return to Net Return"/>
    <hyperlink ref="G8" location="'Wheat crop price'!D47" display="Go to Total Net Return"/>
    <hyperlink ref="G8:G10" location="'Barley (Moist) Crop'!D53" display="Go to Total Net Return Below"/>
  </hyperlink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56"/>
  <sheetViews>
    <sheetView showGridLines="0" zoomScalePageLayoutView="0" workbookViewId="0" topLeftCell="A1">
      <selection activeCell="O3" sqref="O3"/>
    </sheetView>
  </sheetViews>
  <sheetFormatPr defaultColWidth="9.140625" defaultRowHeight="12.75"/>
  <cols>
    <col min="1" max="1" width="1.57421875" style="10" customWidth="1"/>
    <col min="2" max="2" width="17.28125" style="10" customWidth="1"/>
    <col min="3" max="6" width="9.140625" style="10" customWidth="1"/>
    <col min="7" max="7" width="13.57421875" style="10" customWidth="1"/>
    <col min="8" max="14" width="9.140625" style="10" customWidth="1"/>
    <col min="15" max="15" width="28.00390625" style="10" customWidth="1"/>
    <col min="16" max="16384" width="9.140625" style="10" customWidth="1"/>
  </cols>
  <sheetData>
    <row r="1" spans="2:10" ht="6" customHeight="1" thickBot="1">
      <c r="B1" s="11"/>
      <c r="C1" s="11"/>
      <c r="D1" s="11"/>
      <c r="E1" s="11"/>
      <c r="F1" s="11"/>
      <c r="G1" s="11"/>
      <c r="H1" s="11"/>
      <c r="I1" s="11"/>
      <c r="J1" s="11"/>
    </row>
    <row r="2" spans="1:15" ht="21">
      <c r="A2" s="11"/>
      <c r="B2" s="253" t="s">
        <v>40</v>
      </c>
      <c r="C2" s="254"/>
      <c r="D2" s="254"/>
      <c r="E2" s="254"/>
      <c r="F2" s="254"/>
      <c r="G2" s="254"/>
      <c r="H2" s="254"/>
      <c r="I2" s="254"/>
      <c r="J2" s="254"/>
      <c r="K2" s="254"/>
      <c r="L2" s="254"/>
      <c r="M2" s="254"/>
      <c r="N2" s="255"/>
      <c r="O2" s="163" t="s">
        <v>69</v>
      </c>
    </row>
    <row r="3" spans="1:15" ht="21">
      <c r="A3" s="11"/>
      <c r="B3" s="256" t="s">
        <v>48</v>
      </c>
      <c r="C3" s="257"/>
      <c r="D3" s="257"/>
      <c r="E3" s="257"/>
      <c r="F3" s="257"/>
      <c r="G3" s="257"/>
      <c r="H3" s="257"/>
      <c r="I3" s="257"/>
      <c r="J3" s="257"/>
      <c r="K3" s="257"/>
      <c r="L3" s="257"/>
      <c r="M3" s="257"/>
      <c r="N3" s="258"/>
      <c r="O3" s="163" t="s">
        <v>70</v>
      </c>
    </row>
    <row r="4" spans="1:15" ht="6.75" customHeight="1">
      <c r="A4" s="11"/>
      <c r="B4" s="13"/>
      <c r="C4" s="14"/>
      <c r="D4" s="14"/>
      <c r="E4" s="14"/>
      <c r="F4" s="14"/>
      <c r="G4" s="14"/>
      <c r="H4" s="14"/>
      <c r="I4" s="14"/>
      <c r="J4" s="14"/>
      <c r="K4" s="12"/>
      <c r="L4" s="12"/>
      <c r="M4" s="12"/>
      <c r="N4" s="15"/>
      <c r="O4" s="165"/>
    </row>
    <row r="5" spans="2:15" ht="12.75">
      <c r="B5" s="259"/>
      <c r="C5" s="260"/>
      <c r="D5" s="260"/>
      <c r="E5" s="12"/>
      <c r="F5" s="12"/>
      <c r="G5" s="12"/>
      <c r="H5" s="12"/>
      <c r="I5" s="12"/>
      <c r="J5" s="12"/>
      <c r="K5" s="12"/>
      <c r="L5" s="12"/>
      <c r="M5" s="12"/>
      <c r="N5" s="15"/>
      <c r="O5" s="161" t="s">
        <v>100</v>
      </c>
    </row>
    <row r="6" spans="1:15" ht="4.5" customHeight="1" thickBot="1">
      <c r="A6" s="16"/>
      <c r="B6" s="17"/>
      <c r="C6" s="18"/>
      <c r="D6" s="18"/>
      <c r="E6" s="18"/>
      <c r="F6" s="18"/>
      <c r="G6" s="18"/>
      <c r="H6" s="18"/>
      <c r="I6" s="18"/>
      <c r="J6" s="18"/>
      <c r="K6" s="12"/>
      <c r="L6" s="12"/>
      <c r="M6" s="12"/>
      <c r="N6" s="15"/>
      <c r="O6" s="162"/>
    </row>
    <row r="7" spans="1:15" ht="15.75" customHeight="1" thickBot="1">
      <c r="A7" s="16"/>
      <c r="B7" s="238" t="s">
        <v>39</v>
      </c>
      <c r="C7" s="239"/>
      <c r="D7" s="18"/>
      <c r="E7" s="18"/>
      <c r="F7" s="18"/>
      <c r="G7" s="18"/>
      <c r="H7" s="18"/>
      <c r="I7" s="19"/>
      <c r="J7" s="18"/>
      <c r="K7" s="19"/>
      <c r="L7" s="12"/>
      <c r="M7" s="12"/>
      <c r="N7" s="15"/>
      <c r="O7" s="162"/>
    </row>
    <row r="8" spans="1:14" ht="15" customHeight="1">
      <c r="A8" s="16"/>
      <c r="B8" s="87" t="s">
        <v>1</v>
      </c>
      <c r="C8" s="21" t="str">
        <f>'Data Entry'!C7</f>
        <v>UREA</v>
      </c>
      <c r="D8" s="18"/>
      <c r="E8" s="22"/>
      <c r="F8" s="23"/>
      <c r="G8" s="222" t="s">
        <v>106</v>
      </c>
      <c r="H8" s="23"/>
      <c r="I8" s="262" t="s">
        <v>22</v>
      </c>
      <c r="J8" s="263"/>
      <c r="K8" s="263"/>
      <c r="L8" s="263"/>
      <c r="M8" s="263"/>
      <c r="N8" s="24"/>
    </row>
    <row r="9" spans="1:14" ht="13.5">
      <c r="A9" s="16"/>
      <c r="B9" s="20" t="s">
        <v>3</v>
      </c>
      <c r="C9" s="59">
        <f>'Data Entry'!C8</f>
        <v>600</v>
      </c>
      <c r="D9" s="18"/>
      <c r="E9" s="17"/>
      <c r="F9" s="18"/>
      <c r="G9" s="223"/>
      <c r="H9" s="18"/>
      <c r="I9" s="19"/>
      <c r="J9" s="18"/>
      <c r="K9" s="19"/>
      <c r="L9" s="12"/>
      <c r="M9" s="12"/>
      <c r="N9" s="15"/>
    </row>
    <row r="10" spans="1:14" ht="13.5">
      <c r="A10" s="16"/>
      <c r="B10" s="20" t="s">
        <v>4</v>
      </c>
      <c r="C10" s="25">
        <f>'Data Entry'!C9</f>
        <v>46</v>
      </c>
      <c r="D10" s="18"/>
      <c r="E10" s="17"/>
      <c r="F10" s="18"/>
      <c r="G10" s="223"/>
      <c r="H10" s="26">
        <f>K10-C14*3</f>
        <v>1</v>
      </c>
      <c r="I10" s="26">
        <f>K10-C14*2</f>
        <v>1.5</v>
      </c>
      <c r="J10" s="26">
        <f>K10-C14</f>
        <v>2</v>
      </c>
      <c r="K10" s="27">
        <f>'Data Entry'!F15</f>
        <v>2.5</v>
      </c>
      <c r="L10" s="26">
        <f>K10+C14</f>
        <v>3</v>
      </c>
      <c r="M10" s="26">
        <f>K10+C14*2</f>
        <v>3.5</v>
      </c>
      <c r="N10" s="28">
        <f>K10+C14*3</f>
        <v>4</v>
      </c>
    </row>
    <row r="11" spans="1:14" ht="13.5">
      <c r="A11" s="16"/>
      <c r="B11" s="20" t="s">
        <v>5</v>
      </c>
      <c r="C11" s="61">
        <f>(C9/((C10/100)*2200))</f>
        <v>0.5928853754940712</v>
      </c>
      <c r="D11" s="18"/>
      <c r="E11" s="17"/>
      <c r="F11" s="18"/>
      <c r="G11" s="29" t="s">
        <v>6</v>
      </c>
      <c r="H11" s="18"/>
      <c r="I11" s="18"/>
      <c r="J11" s="18"/>
      <c r="K11" s="12"/>
      <c r="L11" s="12"/>
      <c r="M11" s="12"/>
      <c r="N11" s="15"/>
    </row>
    <row r="12" spans="1:14" ht="13.5">
      <c r="A12" s="16"/>
      <c r="B12" s="30" t="s">
        <v>20</v>
      </c>
      <c r="C12" s="31">
        <f>'Data Entry'!C11</f>
        <v>10</v>
      </c>
      <c r="D12" s="18"/>
      <c r="E12" s="32"/>
      <c r="F12" s="29" t="s">
        <v>67</v>
      </c>
      <c r="G12" s="29" t="s">
        <v>7</v>
      </c>
      <c r="H12" s="264" t="s">
        <v>8</v>
      </c>
      <c r="I12" s="264"/>
      <c r="J12" s="264"/>
      <c r="K12" s="264"/>
      <c r="L12" s="264"/>
      <c r="M12" s="264"/>
      <c r="N12" s="265"/>
    </row>
    <row r="13" spans="1:14" ht="14.25" thickBot="1">
      <c r="A13" s="16"/>
      <c r="B13" s="33" t="s">
        <v>113</v>
      </c>
      <c r="C13" s="34"/>
      <c r="D13" s="18"/>
      <c r="E13" s="35" t="s">
        <v>9</v>
      </c>
      <c r="F13" s="36" t="s">
        <v>68</v>
      </c>
      <c r="G13" s="36" t="s">
        <v>10</v>
      </c>
      <c r="H13" s="228" t="s">
        <v>23</v>
      </c>
      <c r="I13" s="228"/>
      <c r="J13" s="228"/>
      <c r="K13" s="228"/>
      <c r="L13" s="228"/>
      <c r="M13" s="228"/>
      <c r="N13" s="229"/>
    </row>
    <row r="14" spans="1:14" ht="13.5">
      <c r="A14" s="16"/>
      <c r="B14" s="37" t="s">
        <v>115</v>
      </c>
      <c r="C14" s="38">
        <f>'Data Entry'!C13</f>
        <v>0.5</v>
      </c>
      <c r="D14" s="18"/>
      <c r="E14" s="39" t="s">
        <v>11</v>
      </c>
      <c r="F14" s="40" t="s">
        <v>12</v>
      </c>
      <c r="G14" s="40" t="s">
        <v>12</v>
      </c>
      <c r="H14" s="41">
        <f aca="true" t="shared" si="0" ref="H14:N14">H10/$C$11</f>
        <v>1.6866666666666665</v>
      </c>
      <c r="I14" s="41">
        <f t="shared" si="0"/>
        <v>2.53</v>
      </c>
      <c r="J14" s="41">
        <f t="shared" si="0"/>
        <v>3.373333333333333</v>
      </c>
      <c r="K14" s="41">
        <f t="shared" si="0"/>
        <v>4.216666666666667</v>
      </c>
      <c r="L14" s="41">
        <f t="shared" si="0"/>
        <v>5.06</v>
      </c>
      <c r="M14" s="41">
        <f t="shared" si="0"/>
        <v>5.903333333333333</v>
      </c>
      <c r="N14" s="42">
        <f t="shared" si="0"/>
        <v>6.746666666666666</v>
      </c>
    </row>
    <row r="15" spans="1:14" ht="13.5">
      <c r="A15" s="16"/>
      <c r="B15" s="43" t="s">
        <v>28</v>
      </c>
      <c r="C15" s="34"/>
      <c r="D15" s="18"/>
      <c r="E15" s="44">
        <f>IF((E19-4*$C$12)&lt;0,0,(E19-4*$C$12))</f>
        <v>10</v>
      </c>
      <c r="F15" s="128">
        <f>G15+(-0.0082*($C$16)^2+1.5595*($C$16))+31.73</f>
        <v>80.99000000000001</v>
      </c>
      <c r="G15" s="128">
        <f>IF(((-0.0082*(E15+$C$16)^2+1.5595*(E15+$C$16))-(-0.0082*($C$16)^2+1.5595*($C$16)))&lt;0,0,(-0.0082*(E15+$C$16)^2+1.5595*(E15+$C$16))-(-0.0082*($C$16)^2+1.5595*($C$16)))</f>
        <v>9.855000000000004</v>
      </c>
      <c r="H15" s="137">
        <f aca="true" t="shared" si="1" ref="H15:N23">(H$10*$G15)-($C$11*($E15))</f>
        <v>3.926146245059292</v>
      </c>
      <c r="I15" s="137">
        <f t="shared" si="1"/>
        <v>8.853646245059295</v>
      </c>
      <c r="J15" s="137">
        <f t="shared" si="1"/>
        <v>13.781146245059297</v>
      </c>
      <c r="K15" s="137">
        <f t="shared" si="1"/>
        <v>18.7086462450593</v>
      </c>
      <c r="L15" s="137">
        <f t="shared" si="1"/>
        <v>23.6361462450593</v>
      </c>
      <c r="M15" s="137">
        <f t="shared" si="1"/>
        <v>28.563646245059303</v>
      </c>
      <c r="N15" s="138">
        <f t="shared" si="1"/>
        <v>33.491146245059305</v>
      </c>
    </row>
    <row r="16" spans="1:14" ht="13.5">
      <c r="A16" s="16"/>
      <c r="B16" s="37" t="s">
        <v>29</v>
      </c>
      <c r="C16" s="45">
        <f>'Data Entry'!C15</f>
        <v>30</v>
      </c>
      <c r="D16" s="18"/>
      <c r="E16" s="44">
        <f>IF((E20-4*$C$12)&lt;0,0,(E20-4*$C$12))</f>
        <v>20</v>
      </c>
      <c r="F16" s="128">
        <f aca="true" t="shared" si="2" ref="F16:F23">G16+(-0.0082*($C$16)^2+1.5595*($C$16))+31.73</f>
        <v>89.20500000000001</v>
      </c>
      <c r="G16" s="128">
        <f aca="true" t="shared" si="3" ref="G16:G23">IF(((-0.0082*(E16+$C$16)^2+1.5595*(E16+$C$16))-(-0.0082*($C$16)^2+1.5595*($C$16)))&lt;0,0,(-0.0082*(E16+$C$16)^2+1.5595*(E16+$C$16))-(-0.0082*($C$16)^2+1.5595*($C$16)))</f>
        <v>18.070000000000007</v>
      </c>
      <c r="H16" s="137">
        <f t="shared" si="1"/>
        <v>6.212292490118584</v>
      </c>
      <c r="I16" s="137">
        <f t="shared" si="1"/>
        <v>15.247292490118587</v>
      </c>
      <c r="J16" s="137">
        <f t="shared" si="1"/>
        <v>24.282292490118593</v>
      </c>
      <c r="K16" s="137">
        <f t="shared" si="1"/>
        <v>33.3172924901186</v>
      </c>
      <c r="L16" s="137">
        <f t="shared" si="1"/>
        <v>42.3522924901186</v>
      </c>
      <c r="M16" s="137">
        <f t="shared" si="1"/>
        <v>51.387292490118604</v>
      </c>
      <c r="N16" s="138">
        <f t="shared" si="1"/>
        <v>60.42229249011861</v>
      </c>
    </row>
    <row r="17" spans="1:14" ht="13.5">
      <c r="A17" s="16"/>
      <c r="B17" s="43" t="s">
        <v>30</v>
      </c>
      <c r="C17" s="46"/>
      <c r="D17" s="18"/>
      <c r="E17" s="44">
        <f>IF((E21-4*$C$12)&lt;0,0,(E21-4*$C$12))</f>
        <v>30</v>
      </c>
      <c r="F17" s="128">
        <f t="shared" si="2"/>
        <v>95.78000000000002</v>
      </c>
      <c r="G17" s="128">
        <f t="shared" si="3"/>
        <v>24.64500000000001</v>
      </c>
      <c r="H17" s="137">
        <f t="shared" si="1"/>
        <v>6.858438735177874</v>
      </c>
      <c r="I17" s="137">
        <f t="shared" si="1"/>
        <v>19.18093873517788</v>
      </c>
      <c r="J17" s="137">
        <f t="shared" si="1"/>
        <v>31.503438735177884</v>
      </c>
      <c r="K17" s="137">
        <f t="shared" si="1"/>
        <v>43.825938735177886</v>
      </c>
      <c r="L17" s="137">
        <f t="shared" si="1"/>
        <v>56.14843873517789</v>
      </c>
      <c r="M17" s="137">
        <f t="shared" si="1"/>
        <v>68.4709387351779</v>
      </c>
      <c r="N17" s="138">
        <f t="shared" si="1"/>
        <v>80.7934387351779</v>
      </c>
    </row>
    <row r="18" spans="1:14" ht="14.25" thickBot="1">
      <c r="A18" s="16"/>
      <c r="B18" s="17"/>
      <c r="C18" s="18"/>
      <c r="D18" s="18"/>
      <c r="E18" s="44">
        <f>IF((E22-4*$C$12)&lt;0,0,(E22-4*$C$12))</f>
        <v>40</v>
      </c>
      <c r="F18" s="128">
        <f t="shared" si="2"/>
        <v>100.715</v>
      </c>
      <c r="G18" s="128">
        <f t="shared" si="3"/>
        <v>29.58</v>
      </c>
      <c r="H18" s="137">
        <f t="shared" si="1"/>
        <v>5.864584980237151</v>
      </c>
      <c r="I18" s="137">
        <f t="shared" si="1"/>
        <v>20.65458498023715</v>
      </c>
      <c r="J18" s="137">
        <f t="shared" si="1"/>
        <v>35.44458498023715</v>
      </c>
      <c r="K18" s="137">
        <f t="shared" si="1"/>
        <v>50.234584980237145</v>
      </c>
      <c r="L18" s="137">
        <f t="shared" si="1"/>
        <v>65.02458498023715</v>
      </c>
      <c r="M18" s="137">
        <f t="shared" si="1"/>
        <v>79.81458498023716</v>
      </c>
      <c r="N18" s="138">
        <f t="shared" si="1"/>
        <v>94.60458498023715</v>
      </c>
    </row>
    <row r="19" spans="1:14" ht="14.25" thickBot="1">
      <c r="A19" s="16"/>
      <c r="B19" s="54"/>
      <c r="C19" s="48"/>
      <c r="D19" s="49" t="s">
        <v>13</v>
      </c>
      <c r="E19" s="50">
        <f>'Data Entry'!G10</f>
        <v>50</v>
      </c>
      <c r="F19" s="128">
        <f t="shared" si="2"/>
        <v>104.01</v>
      </c>
      <c r="G19" s="128">
        <f t="shared" si="3"/>
        <v>32.875</v>
      </c>
      <c r="H19" s="137">
        <f t="shared" si="1"/>
        <v>3.2307312252964415</v>
      </c>
      <c r="I19" s="137">
        <f t="shared" si="1"/>
        <v>19.66823122529644</v>
      </c>
      <c r="J19" s="137">
        <f t="shared" si="1"/>
        <v>36.10573122529644</v>
      </c>
      <c r="K19" s="137">
        <f t="shared" si="1"/>
        <v>52.54323122529644</v>
      </c>
      <c r="L19" s="137">
        <f t="shared" si="1"/>
        <v>68.98073122529644</v>
      </c>
      <c r="M19" s="137">
        <f t="shared" si="1"/>
        <v>85.41823122529644</v>
      </c>
      <c r="N19" s="138">
        <f t="shared" si="1"/>
        <v>101.85573122529644</v>
      </c>
    </row>
    <row r="20" spans="1:14" ht="13.5">
      <c r="A20" s="16"/>
      <c r="B20" s="17"/>
      <c r="C20" s="18"/>
      <c r="D20" s="18"/>
      <c r="E20" s="51">
        <f>E19+C12</f>
        <v>60</v>
      </c>
      <c r="F20" s="128">
        <f t="shared" si="2"/>
        <v>105.66500000000002</v>
      </c>
      <c r="G20" s="128">
        <f t="shared" si="3"/>
        <v>34.530000000000015</v>
      </c>
      <c r="H20" s="137">
        <f t="shared" si="1"/>
        <v>-1.0431225296442577</v>
      </c>
      <c r="I20" s="137">
        <f t="shared" si="1"/>
        <v>16.22187747035575</v>
      </c>
      <c r="J20" s="137">
        <f t="shared" si="1"/>
        <v>33.48687747035576</v>
      </c>
      <c r="K20" s="137">
        <f t="shared" si="1"/>
        <v>50.75187747035577</v>
      </c>
      <c r="L20" s="137">
        <f t="shared" si="1"/>
        <v>68.01687747035578</v>
      </c>
      <c r="M20" s="137">
        <f t="shared" si="1"/>
        <v>85.28187747035577</v>
      </c>
      <c r="N20" s="138">
        <f t="shared" si="1"/>
        <v>102.54687747035578</v>
      </c>
    </row>
    <row r="21" spans="1:14" ht="13.5">
      <c r="A21" s="16"/>
      <c r="B21" s="17"/>
      <c r="C21" s="18"/>
      <c r="D21" s="18"/>
      <c r="E21" s="51">
        <f>E19+2*C12</f>
        <v>70</v>
      </c>
      <c r="F21" s="128">
        <f t="shared" si="2"/>
        <v>105.68000000000002</v>
      </c>
      <c r="G21" s="128">
        <f t="shared" si="3"/>
        <v>34.545000000000016</v>
      </c>
      <c r="H21" s="137">
        <f t="shared" si="1"/>
        <v>-6.956976284584968</v>
      </c>
      <c r="I21" s="137">
        <f t="shared" si="1"/>
        <v>10.31552371541504</v>
      </c>
      <c r="J21" s="137">
        <f t="shared" si="1"/>
        <v>27.588023715415048</v>
      </c>
      <c r="K21" s="137">
        <f t="shared" si="1"/>
        <v>44.860523715415056</v>
      </c>
      <c r="L21" s="137">
        <f t="shared" si="1"/>
        <v>62.133023715415064</v>
      </c>
      <c r="M21" s="137">
        <f t="shared" si="1"/>
        <v>79.40552371541507</v>
      </c>
      <c r="N21" s="138">
        <f t="shared" si="1"/>
        <v>96.67802371541508</v>
      </c>
    </row>
    <row r="22" spans="1:14" ht="13.5">
      <c r="A22" s="16"/>
      <c r="B22" s="17"/>
      <c r="C22" s="18"/>
      <c r="D22" s="18"/>
      <c r="E22" s="51">
        <f>E19+3*C12</f>
        <v>80</v>
      </c>
      <c r="F22" s="128">
        <f t="shared" si="2"/>
        <v>104.055</v>
      </c>
      <c r="G22" s="128">
        <f t="shared" si="3"/>
        <v>32.92</v>
      </c>
      <c r="H22" s="137">
        <f t="shared" si="1"/>
        <v>-14.510830039525693</v>
      </c>
      <c r="I22" s="137">
        <f t="shared" si="1"/>
        <v>1.9491699604743076</v>
      </c>
      <c r="J22" s="137">
        <f t="shared" si="1"/>
        <v>18.40916996047431</v>
      </c>
      <c r="K22" s="137">
        <f t="shared" si="1"/>
        <v>34.869169960474316</v>
      </c>
      <c r="L22" s="137">
        <f t="shared" si="1"/>
        <v>51.32916996047431</v>
      </c>
      <c r="M22" s="137">
        <f t="shared" si="1"/>
        <v>67.78916996047431</v>
      </c>
      <c r="N22" s="138">
        <f t="shared" si="1"/>
        <v>84.24916996047432</v>
      </c>
    </row>
    <row r="23" spans="1:14" ht="13.5">
      <c r="A23" s="16"/>
      <c r="B23" s="17"/>
      <c r="C23" s="18"/>
      <c r="D23" s="18"/>
      <c r="E23" s="51">
        <f>E19+4*C12</f>
        <v>90</v>
      </c>
      <c r="F23" s="128">
        <f t="shared" si="2"/>
        <v>100.79</v>
      </c>
      <c r="G23" s="128">
        <f t="shared" si="3"/>
        <v>29.655</v>
      </c>
      <c r="H23" s="137">
        <f t="shared" si="1"/>
        <v>-23.704683794466405</v>
      </c>
      <c r="I23" s="137">
        <f t="shared" si="1"/>
        <v>-8.877183794466404</v>
      </c>
      <c r="J23" s="137">
        <f t="shared" si="1"/>
        <v>5.950316205533596</v>
      </c>
      <c r="K23" s="137">
        <f t="shared" si="1"/>
        <v>20.777816205533597</v>
      </c>
      <c r="L23" s="137">
        <f t="shared" si="1"/>
        <v>35.6053162055336</v>
      </c>
      <c r="M23" s="137">
        <f t="shared" si="1"/>
        <v>50.4328162055336</v>
      </c>
      <c r="N23" s="138">
        <f t="shared" si="1"/>
        <v>65.2603162055336</v>
      </c>
    </row>
    <row r="24" spans="1:14" ht="13.5" customHeight="1">
      <c r="A24" s="16"/>
      <c r="B24" s="17"/>
      <c r="C24" s="18"/>
      <c r="D24" s="18"/>
      <c r="E24" s="276" t="s">
        <v>54</v>
      </c>
      <c r="F24" s="277"/>
      <c r="G24" s="277"/>
      <c r="H24" s="277"/>
      <c r="I24" s="277"/>
      <c r="J24" s="277"/>
      <c r="K24" s="277"/>
      <c r="L24" s="277"/>
      <c r="M24" s="277"/>
      <c r="N24" s="278"/>
    </row>
    <row r="25" spans="1:14" ht="9.75" customHeight="1">
      <c r="A25" s="16"/>
      <c r="B25" s="17"/>
      <c r="C25" s="18"/>
      <c r="D25" s="18"/>
      <c r="E25" s="266" t="s">
        <v>16</v>
      </c>
      <c r="F25" s="267"/>
      <c r="G25" s="267"/>
      <c r="H25" s="267"/>
      <c r="I25" s="267"/>
      <c r="J25" s="267"/>
      <c r="K25" s="267"/>
      <c r="L25" s="267"/>
      <c r="M25" s="267"/>
      <c r="N25" s="268"/>
    </row>
    <row r="26" spans="1:14" ht="9.75" customHeight="1">
      <c r="A26" s="16"/>
      <c r="B26" s="17"/>
      <c r="C26" s="18"/>
      <c r="D26" s="18"/>
      <c r="E26" s="266" t="s">
        <v>24</v>
      </c>
      <c r="F26" s="267"/>
      <c r="G26" s="267"/>
      <c r="H26" s="267"/>
      <c r="I26" s="267"/>
      <c r="J26" s="267"/>
      <c r="K26" s="267"/>
      <c r="L26" s="267"/>
      <c r="M26" s="267"/>
      <c r="N26" s="268"/>
    </row>
    <row r="27" spans="1:19" ht="11.25" customHeight="1">
      <c r="A27" s="16"/>
      <c r="B27" s="17"/>
      <c r="C27" s="18"/>
      <c r="D27" s="18"/>
      <c r="E27" s="245" t="s">
        <v>91</v>
      </c>
      <c r="F27" s="246"/>
      <c r="G27" s="246"/>
      <c r="H27" s="246"/>
      <c r="I27" s="246"/>
      <c r="J27" s="246"/>
      <c r="K27" s="247"/>
      <c r="L27" s="247"/>
      <c r="M27" s="247"/>
      <c r="N27" s="248"/>
      <c r="O27"/>
      <c r="P27"/>
      <c r="Q27"/>
      <c r="R27"/>
      <c r="S27"/>
    </row>
    <row r="28" spans="1:14" ht="12" customHeight="1" thickBot="1">
      <c r="A28" s="16"/>
      <c r="B28" s="17"/>
      <c r="C28" s="18"/>
      <c r="D28" s="18"/>
      <c r="E28" s="269" t="s">
        <v>38</v>
      </c>
      <c r="F28" s="270"/>
      <c r="G28" s="271"/>
      <c r="H28" s="271"/>
      <c r="I28" s="271"/>
      <c r="J28" s="271"/>
      <c r="K28" s="272"/>
      <c r="L28" s="272"/>
      <c r="M28" s="272"/>
      <c r="N28" s="273"/>
    </row>
    <row r="29" spans="1:14" ht="11.25" customHeight="1">
      <c r="A29" s="16"/>
      <c r="B29" s="17"/>
      <c r="C29" s="18"/>
      <c r="D29" s="18"/>
      <c r="E29" s="53"/>
      <c r="F29" s="53"/>
      <c r="G29" s="53"/>
      <c r="H29" s="53"/>
      <c r="I29" s="53"/>
      <c r="J29" s="53"/>
      <c r="K29" s="12"/>
      <c r="L29" s="12"/>
      <c r="M29" s="12"/>
      <c r="N29" s="15"/>
    </row>
    <row r="30" spans="2:14" ht="11.25" customHeight="1" thickBot="1">
      <c r="B30" s="224"/>
      <c r="C30" s="225"/>
      <c r="D30" s="225"/>
      <c r="E30" s="225"/>
      <c r="F30" s="225"/>
      <c r="G30" s="225"/>
      <c r="H30" s="225"/>
      <c r="I30" s="225"/>
      <c r="J30" s="225"/>
      <c r="K30" s="55"/>
      <c r="L30" s="55"/>
      <c r="M30" s="55"/>
      <c r="N30" s="56"/>
    </row>
    <row r="31" ht="5.25" customHeight="1" thickBot="1">
      <c r="N31" s="24"/>
    </row>
    <row r="32" spans="1:15" ht="15.75" customHeight="1" thickBot="1">
      <c r="A32" s="16"/>
      <c r="B32" s="238" t="s">
        <v>39</v>
      </c>
      <c r="C32" s="239"/>
      <c r="E32" s="18"/>
      <c r="F32" s="18"/>
      <c r="G32" s="18"/>
      <c r="H32" s="18"/>
      <c r="I32" s="19"/>
      <c r="J32" s="18"/>
      <c r="K32" s="19"/>
      <c r="L32" s="12"/>
      <c r="M32" s="12"/>
      <c r="N32" s="15"/>
      <c r="O32" s="158"/>
    </row>
    <row r="33" spans="1:15" ht="15" customHeight="1">
      <c r="A33" s="16"/>
      <c r="B33" s="87" t="s">
        <v>1</v>
      </c>
      <c r="C33" s="21" t="str">
        <f>'Data Entry'!C7</f>
        <v>UREA</v>
      </c>
      <c r="D33" s="18"/>
      <c r="F33" s="22"/>
      <c r="G33" s="222" t="s">
        <v>108</v>
      </c>
      <c r="H33" s="23"/>
      <c r="I33" s="262" t="s">
        <v>22</v>
      </c>
      <c r="J33" s="263"/>
      <c r="K33" s="263"/>
      <c r="L33" s="263"/>
      <c r="M33" s="263"/>
      <c r="N33" s="24"/>
      <c r="O33" s="158"/>
    </row>
    <row r="34" spans="1:15" ht="13.5">
      <c r="A34" s="16"/>
      <c r="B34" s="20" t="s">
        <v>3</v>
      </c>
      <c r="C34" s="184">
        <f>'Data Entry'!C8</f>
        <v>600</v>
      </c>
      <c r="D34" s="18"/>
      <c r="F34" s="17"/>
      <c r="G34" s="223"/>
      <c r="H34" s="18"/>
      <c r="I34" s="19"/>
      <c r="J34" s="18"/>
      <c r="K34" s="19"/>
      <c r="L34" s="12"/>
      <c r="M34" s="12"/>
      <c r="N34" s="15"/>
      <c r="O34" s="158"/>
    </row>
    <row r="35" spans="1:15" ht="13.5">
      <c r="A35" s="16"/>
      <c r="B35" s="20" t="s">
        <v>4</v>
      </c>
      <c r="C35" s="25">
        <f>'Data Entry'!C9</f>
        <v>46</v>
      </c>
      <c r="D35" s="18"/>
      <c r="F35" s="17"/>
      <c r="G35" s="223"/>
      <c r="H35" s="26">
        <f>K35-C39*3</f>
        <v>1</v>
      </c>
      <c r="I35" s="26">
        <f>K35-C39*2</f>
        <v>1.5</v>
      </c>
      <c r="J35" s="26">
        <f>K35-C39</f>
        <v>2</v>
      </c>
      <c r="K35" s="27">
        <f>'Data Entry'!F15</f>
        <v>2.5</v>
      </c>
      <c r="L35" s="26">
        <f>K35+C39</f>
        <v>3</v>
      </c>
      <c r="M35" s="26">
        <f>K35+C39*2</f>
        <v>3.5</v>
      </c>
      <c r="N35" s="28">
        <f>K35+C39*3</f>
        <v>4</v>
      </c>
      <c r="O35" s="158"/>
    </row>
    <row r="36" spans="1:15" ht="13.5">
      <c r="A36" s="16"/>
      <c r="B36" s="20" t="s">
        <v>5</v>
      </c>
      <c r="C36" s="61">
        <f>(C34/((C35/100)*2200))</f>
        <v>0.5928853754940712</v>
      </c>
      <c r="D36" s="18"/>
      <c r="F36" s="17"/>
      <c r="G36" s="29" t="s">
        <v>6</v>
      </c>
      <c r="H36" s="18"/>
      <c r="I36" s="18"/>
      <c r="J36" s="18"/>
      <c r="K36" s="12"/>
      <c r="L36" s="12"/>
      <c r="M36" s="12"/>
      <c r="N36" s="15"/>
      <c r="O36" s="158"/>
    </row>
    <row r="37" spans="1:19" ht="13.5">
      <c r="A37" s="16"/>
      <c r="B37" s="30" t="s">
        <v>20</v>
      </c>
      <c r="C37" s="31">
        <f>'Data Entry'!C11</f>
        <v>10</v>
      </c>
      <c r="D37" s="18"/>
      <c r="F37" s="32"/>
      <c r="G37" s="70" t="s">
        <v>67</v>
      </c>
      <c r="H37" s="264" t="s">
        <v>8</v>
      </c>
      <c r="I37" s="264"/>
      <c r="J37" s="264"/>
      <c r="K37" s="264"/>
      <c r="L37" s="264"/>
      <c r="M37" s="264"/>
      <c r="N37" s="265"/>
      <c r="O37" s="156"/>
      <c r="P37"/>
      <c r="Q37"/>
      <c r="R37"/>
      <c r="S37"/>
    </row>
    <row r="38" spans="1:19" ht="14.25" thickBot="1">
      <c r="A38" s="16"/>
      <c r="B38" s="33" t="s">
        <v>113</v>
      </c>
      <c r="C38" s="34"/>
      <c r="D38" s="18"/>
      <c r="F38" s="35" t="s">
        <v>9</v>
      </c>
      <c r="G38" s="73" t="s">
        <v>68</v>
      </c>
      <c r="H38" s="228" t="s">
        <v>23</v>
      </c>
      <c r="I38" s="228"/>
      <c r="J38" s="228"/>
      <c r="K38" s="228"/>
      <c r="L38" s="228"/>
      <c r="M38" s="228"/>
      <c r="N38" s="229"/>
      <c r="O38" s="156"/>
      <c r="P38"/>
      <c r="Q38"/>
      <c r="R38"/>
      <c r="S38"/>
    </row>
    <row r="39" spans="1:19" ht="13.5">
      <c r="A39" s="16"/>
      <c r="B39" s="37" t="s">
        <v>115</v>
      </c>
      <c r="C39" s="57">
        <f>'Data Entry'!C13</f>
        <v>0.5</v>
      </c>
      <c r="D39" s="18"/>
      <c r="F39" s="39" t="s">
        <v>11</v>
      </c>
      <c r="G39" s="75" t="s">
        <v>12</v>
      </c>
      <c r="H39" s="41">
        <f aca="true" t="shared" si="4" ref="H39:N39">H35/$C$11</f>
        <v>1.6866666666666665</v>
      </c>
      <c r="I39" s="41">
        <f t="shared" si="4"/>
        <v>2.53</v>
      </c>
      <c r="J39" s="41">
        <f t="shared" si="4"/>
        <v>3.373333333333333</v>
      </c>
      <c r="K39" s="41">
        <f t="shared" si="4"/>
        <v>4.216666666666667</v>
      </c>
      <c r="L39" s="41">
        <f t="shared" si="4"/>
        <v>5.06</v>
      </c>
      <c r="M39" s="41">
        <f t="shared" si="4"/>
        <v>5.903333333333333</v>
      </c>
      <c r="N39" s="42">
        <f t="shared" si="4"/>
        <v>6.746666666666666</v>
      </c>
      <c r="O39" s="156"/>
      <c r="P39"/>
      <c r="Q39"/>
      <c r="R39"/>
      <c r="S39"/>
    </row>
    <row r="40" spans="1:19" ht="13.5">
      <c r="A40" s="16"/>
      <c r="B40" s="43" t="s">
        <v>28</v>
      </c>
      <c r="C40" s="34"/>
      <c r="D40" s="18"/>
      <c r="F40" s="44">
        <f>IF((F44-4*$C$12)&lt;0,0,(F44-4*$C$12))</f>
        <v>30</v>
      </c>
      <c r="G40" s="128">
        <f>G15+(-0.0082*($C$16)^2+1.5595*($C$16))+31.73</f>
        <v>80.99000000000001</v>
      </c>
      <c r="H40" s="137">
        <f aca="true" t="shared" si="5" ref="H40:N40">(H$10*$G40)-($C$11*($F40))</f>
        <v>63.20343873517787</v>
      </c>
      <c r="I40" s="137">
        <f t="shared" si="5"/>
        <v>103.69843873517787</v>
      </c>
      <c r="J40" s="137">
        <f t="shared" si="5"/>
        <v>144.1934387351779</v>
      </c>
      <c r="K40" s="137">
        <f t="shared" si="5"/>
        <v>184.6884387351779</v>
      </c>
      <c r="L40" s="137">
        <f t="shared" si="5"/>
        <v>225.1834387351779</v>
      </c>
      <c r="M40" s="137">
        <f t="shared" si="5"/>
        <v>265.6784387351779</v>
      </c>
      <c r="N40" s="138">
        <f t="shared" si="5"/>
        <v>306.1734387351779</v>
      </c>
      <c r="O40" s="156"/>
      <c r="P40"/>
      <c r="Q40"/>
      <c r="R40"/>
      <c r="S40"/>
    </row>
    <row r="41" spans="1:19" ht="13.5">
      <c r="A41" s="16"/>
      <c r="B41" s="37" t="s">
        <v>29</v>
      </c>
      <c r="C41" s="45">
        <f>'Data Entry'!C15</f>
        <v>30</v>
      </c>
      <c r="D41" s="18"/>
      <c r="F41" s="44">
        <f>IF((F45-4*$C$12)&lt;0,0,(F45-4*$C$12))</f>
        <v>40</v>
      </c>
      <c r="G41" s="128">
        <f aca="true" t="shared" si="6" ref="G41:G48">G16+(-0.0082*($C$16)^2+1.5595*($C$16))+31.73</f>
        <v>89.20500000000001</v>
      </c>
      <c r="H41" s="137">
        <f aca="true" t="shared" si="7" ref="H41:N48">(H$10*$G41)-($C$11*($F41))</f>
        <v>65.48958498023717</v>
      </c>
      <c r="I41" s="137">
        <f t="shared" si="7"/>
        <v>110.09208498023716</v>
      </c>
      <c r="J41" s="137">
        <f t="shared" si="7"/>
        <v>154.69458498023718</v>
      </c>
      <c r="K41" s="137">
        <f t="shared" si="7"/>
        <v>199.2970849802372</v>
      </c>
      <c r="L41" s="137">
        <f t="shared" si="7"/>
        <v>243.89958498023717</v>
      </c>
      <c r="M41" s="137">
        <f t="shared" si="7"/>
        <v>288.50208498023716</v>
      </c>
      <c r="N41" s="138">
        <f t="shared" si="7"/>
        <v>333.1045849802372</v>
      </c>
      <c r="O41" s="156"/>
      <c r="P41"/>
      <c r="Q41"/>
      <c r="R41"/>
      <c r="S41"/>
    </row>
    <row r="42" spans="1:19" ht="13.5">
      <c r="A42" s="16"/>
      <c r="B42" s="43" t="s">
        <v>30</v>
      </c>
      <c r="C42" s="46"/>
      <c r="D42" s="18"/>
      <c r="F42" s="44">
        <f>IF((F46-4*$C$12)&lt;0,0,(F46-4*$C$12))</f>
        <v>50</v>
      </c>
      <c r="G42" s="128">
        <f t="shared" si="6"/>
        <v>95.78000000000002</v>
      </c>
      <c r="H42" s="137">
        <f t="shared" si="7"/>
        <v>66.13573122529645</v>
      </c>
      <c r="I42" s="137">
        <f t="shared" si="7"/>
        <v>114.02573122529645</v>
      </c>
      <c r="J42" s="137">
        <f t="shared" si="7"/>
        <v>161.91573122529647</v>
      </c>
      <c r="K42" s="137">
        <f t="shared" si="7"/>
        <v>209.80573122529648</v>
      </c>
      <c r="L42" s="137">
        <f t="shared" si="7"/>
        <v>257.69573122529647</v>
      </c>
      <c r="M42" s="137">
        <f t="shared" si="7"/>
        <v>305.5857312252965</v>
      </c>
      <c r="N42" s="138">
        <f t="shared" si="7"/>
        <v>353.4757312252965</v>
      </c>
      <c r="O42" s="156"/>
      <c r="P42"/>
      <c r="Q42"/>
      <c r="R42"/>
      <c r="S42"/>
    </row>
    <row r="43" spans="1:19" ht="14.25" thickBot="1">
      <c r="A43" s="16"/>
      <c r="B43" s="17"/>
      <c r="C43" s="18"/>
      <c r="D43" s="18"/>
      <c r="F43" s="44">
        <f>IF((F47-4*$C$12)&lt;0,0,(F47-4*$C$12))</f>
        <v>60</v>
      </c>
      <c r="G43" s="128">
        <f t="shared" si="6"/>
        <v>100.715</v>
      </c>
      <c r="H43" s="137">
        <f t="shared" si="7"/>
        <v>65.14187747035572</v>
      </c>
      <c r="I43" s="137">
        <f t="shared" si="7"/>
        <v>115.49937747035571</v>
      </c>
      <c r="J43" s="137">
        <f t="shared" si="7"/>
        <v>165.85687747035573</v>
      </c>
      <c r="K43" s="137">
        <f t="shared" si="7"/>
        <v>216.21437747035574</v>
      </c>
      <c r="L43" s="137">
        <f t="shared" si="7"/>
        <v>266.57187747035573</v>
      </c>
      <c r="M43" s="137">
        <f t="shared" si="7"/>
        <v>316.92937747035575</v>
      </c>
      <c r="N43" s="138">
        <f t="shared" si="7"/>
        <v>367.28687747035576</v>
      </c>
      <c r="O43" s="156"/>
      <c r="P43"/>
      <c r="Q43"/>
      <c r="R43"/>
      <c r="S43"/>
    </row>
    <row r="44" spans="1:19" ht="14.25" thickBot="1">
      <c r="A44" s="16"/>
      <c r="B44" s="47"/>
      <c r="C44" s="48"/>
      <c r="E44" s="49" t="s">
        <v>13</v>
      </c>
      <c r="F44" s="50">
        <f>'Data Entry'!G9</f>
        <v>70</v>
      </c>
      <c r="G44" s="128">
        <f t="shared" si="6"/>
        <v>104.01</v>
      </c>
      <c r="H44" s="137">
        <f>(H$10*$G44)-($C$11*($F44))</f>
        <v>62.50802371541502</v>
      </c>
      <c r="I44" s="137">
        <f t="shared" si="7"/>
        <v>114.51302371541503</v>
      </c>
      <c r="J44" s="137">
        <f t="shared" si="7"/>
        <v>166.51802371541504</v>
      </c>
      <c r="K44" s="137">
        <f t="shared" si="7"/>
        <v>218.52302371541504</v>
      </c>
      <c r="L44" s="137">
        <f t="shared" si="7"/>
        <v>270.52802371541503</v>
      </c>
      <c r="M44" s="137">
        <f t="shared" si="7"/>
        <v>322.533023715415</v>
      </c>
      <c r="N44" s="138">
        <f t="shared" si="7"/>
        <v>374.538023715415</v>
      </c>
      <c r="O44" s="156"/>
      <c r="P44"/>
      <c r="Q44"/>
      <c r="R44"/>
      <c r="S44"/>
    </row>
    <row r="45" spans="1:19" ht="13.5">
      <c r="A45" s="16"/>
      <c r="B45" s="17"/>
      <c r="C45" s="18"/>
      <c r="D45" s="18"/>
      <c r="F45" s="51">
        <f>F44+C37</f>
        <v>80</v>
      </c>
      <c r="G45" s="128">
        <f t="shared" si="6"/>
        <v>105.66500000000002</v>
      </c>
      <c r="H45" s="137">
        <f t="shared" si="7"/>
        <v>58.234169960474325</v>
      </c>
      <c r="I45" s="137">
        <f t="shared" si="7"/>
        <v>111.06666996047434</v>
      </c>
      <c r="J45" s="137">
        <f t="shared" si="7"/>
        <v>163.89916996047435</v>
      </c>
      <c r="K45" s="137">
        <f t="shared" si="7"/>
        <v>216.73166996047433</v>
      </c>
      <c r="L45" s="137">
        <f t="shared" si="7"/>
        <v>269.5641699604744</v>
      </c>
      <c r="M45" s="137">
        <f t="shared" si="7"/>
        <v>322.3966699604744</v>
      </c>
      <c r="N45" s="138">
        <f t="shared" si="7"/>
        <v>375.2291699604744</v>
      </c>
      <c r="O45" s="156"/>
      <c r="P45"/>
      <c r="Q45"/>
      <c r="R45"/>
      <c r="S45"/>
    </row>
    <row r="46" spans="1:19" ht="13.5">
      <c r="A46" s="16"/>
      <c r="B46" s="17"/>
      <c r="C46" s="52"/>
      <c r="D46" s="18"/>
      <c r="F46" s="51">
        <f>F44+2*C37</f>
        <v>90</v>
      </c>
      <c r="G46" s="128">
        <f t="shared" si="6"/>
        <v>105.68000000000002</v>
      </c>
      <c r="H46" s="137">
        <f>(H$10*$G46)-($C$11*($F46))</f>
        <v>52.320316205533615</v>
      </c>
      <c r="I46" s="137">
        <f t="shared" si="7"/>
        <v>105.16031620553363</v>
      </c>
      <c r="J46" s="137">
        <f t="shared" si="7"/>
        <v>158.00031620553364</v>
      </c>
      <c r="K46" s="137">
        <f t="shared" si="7"/>
        <v>210.84031620553364</v>
      </c>
      <c r="L46" s="137">
        <f t="shared" si="7"/>
        <v>263.6803162055337</v>
      </c>
      <c r="M46" s="137">
        <f t="shared" si="7"/>
        <v>316.5203162055336</v>
      </c>
      <c r="N46" s="138">
        <f t="shared" si="7"/>
        <v>369.36031620553365</v>
      </c>
      <c r="O46" s="156"/>
      <c r="P46"/>
      <c r="Q46"/>
      <c r="R46"/>
      <c r="S46"/>
    </row>
    <row r="47" spans="1:19" ht="13.5">
      <c r="A47" s="16"/>
      <c r="B47" s="17"/>
      <c r="C47" s="18"/>
      <c r="D47" s="18"/>
      <c r="F47" s="51">
        <f>F44+3*C37</f>
        <v>100</v>
      </c>
      <c r="G47" s="128">
        <f t="shared" si="6"/>
        <v>104.055</v>
      </c>
      <c r="H47" s="137">
        <f t="shared" si="7"/>
        <v>44.76646245059289</v>
      </c>
      <c r="I47" s="137">
        <f t="shared" si="7"/>
        <v>96.79396245059289</v>
      </c>
      <c r="J47" s="137">
        <f t="shared" si="7"/>
        <v>148.8214624505929</v>
      </c>
      <c r="K47" s="137">
        <f t="shared" si="7"/>
        <v>200.84896245059292</v>
      </c>
      <c r="L47" s="137">
        <f t="shared" si="7"/>
        <v>252.8764624505929</v>
      </c>
      <c r="M47" s="137">
        <f t="shared" si="7"/>
        <v>304.90396245059287</v>
      </c>
      <c r="N47" s="138">
        <f t="shared" si="7"/>
        <v>356.9314624505929</v>
      </c>
      <c r="O47" s="156"/>
      <c r="P47"/>
      <c r="Q47"/>
      <c r="R47"/>
      <c r="S47"/>
    </row>
    <row r="48" spans="1:19" ht="13.5">
      <c r="A48" s="16"/>
      <c r="B48" s="17"/>
      <c r="C48" s="18"/>
      <c r="D48" s="18"/>
      <c r="F48" s="51">
        <f>F44+4*C37</f>
        <v>110</v>
      </c>
      <c r="G48" s="128">
        <f t="shared" si="6"/>
        <v>100.79</v>
      </c>
      <c r="H48" s="137">
        <f t="shared" si="7"/>
        <v>35.57260869565218</v>
      </c>
      <c r="I48" s="137">
        <f t="shared" si="7"/>
        <v>85.96760869565217</v>
      </c>
      <c r="J48" s="137">
        <f t="shared" si="7"/>
        <v>136.36260869565217</v>
      </c>
      <c r="K48" s="137">
        <f t="shared" si="7"/>
        <v>186.7576086956522</v>
      </c>
      <c r="L48" s="137">
        <f t="shared" si="7"/>
        <v>237.1526086956522</v>
      </c>
      <c r="M48" s="137">
        <f t="shared" si="7"/>
        <v>287.54760869565223</v>
      </c>
      <c r="N48" s="138">
        <f t="shared" si="7"/>
        <v>337.9426086956522</v>
      </c>
      <c r="O48" s="156"/>
      <c r="P48"/>
      <c r="Q48"/>
      <c r="R48"/>
      <c r="S48"/>
    </row>
    <row r="49" spans="1:19" ht="13.5" customHeight="1">
      <c r="A49" s="16"/>
      <c r="B49" s="17"/>
      <c r="C49" s="18"/>
      <c r="D49" s="18"/>
      <c r="F49" s="185" t="s">
        <v>54</v>
      </c>
      <c r="G49" s="178"/>
      <c r="H49" s="178"/>
      <c r="I49" s="178"/>
      <c r="J49" s="178"/>
      <c r="K49" s="178"/>
      <c r="L49" s="178"/>
      <c r="M49" s="178"/>
      <c r="N49" s="179"/>
      <c r="O49" s="156"/>
      <c r="P49"/>
      <c r="Q49"/>
      <c r="R49"/>
      <c r="S49"/>
    </row>
    <row r="50" spans="1:19" ht="9.75" customHeight="1">
      <c r="A50" s="16"/>
      <c r="B50" s="17"/>
      <c r="C50" s="18"/>
      <c r="D50" s="18"/>
      <c r="F50" s="188" t="s">
        <v>16</v>
      </c>
      <c r="G50" s="180"/>
      <c r="H50" s="180"/>
      <c r="I50" s="180"/>
      <c r="J50" s="180"/>
      <c r="K50" s="180"/>
      <c r="L50" s="180"/>
      <c r="M50" s="180"/>
      <c r="N50" s="181"/>
      <c r="O50" s="156"/>
      <c r="P50"/>
      <c r="Q50"/>
      <c r="R50"/>
      <c r="S50"/>
    </row>
    <row r="51" spans="1:19" ht="9.75" customHeight="1">
      <c r="A51" s="16"/>
      <c r="B51" s="17"/>
      <c r="C51" s="18"/>
      <c r="D51" s="18"/>
      <c r="F51" s="188" t="s">
        <v>107</v>
      </c>
      <c r="G51" s="180"/>
      <c r="H51" s="180"/>
      <c r="I51" s="180"/>
      <c r="J51" s="180"/>
      <c r="K51" s="180"/>
      <c r="L51" s="180"/>
      <c r="M51" s="180"/>
      <c r="N51" s="181"/>
      <c r="O51" s="156"/>
      <c r="P51"/>
      <c r="Q51"/>
      <c r="R51"/>
      <c r="S51"/>
    </row>
    <row r="52" spans="1:19" ht="11.25" customHeight="1">
      <c r="A52" s="16"/>
      <c r="B52" s="17"/>
      <c r="C52" s="18"/>
      <c r="D52" s="18"/>
      <c r="F52" s="79" t="s">
        <v>111</v>
      </c>
      <c r="G52" s="80"/>
      <c r="H52" s="80"/>
      <c r="I52" s="80"/>
      <c r="J52" s="80"/>
      <c r="K52" s="132"/>
      <c r="L52" s="132"/>
      <c r="M52" s="132"/>
      <c r="N52" s="171"/>
      <c r="O52" s="156"/>
      <c r="P52"/>
      <c r="Q52"/>
      <c r="R52"/>
      <c r="S52"/>
    </row>
    <row r="53" spans="1:19" ht="12" customHeight="1" thickBot="1">
      <c r="A53" s="16"/>
      <c r="B53" s="17"/>
      <c r="C53" s="18"/>
      <c r="D53" s="18"/>
      <c r="F53" s="191" t="s">
        <v>38</v>
      </c>
      <c r="G53" s="182"/>
      <c r="H53" s="183"/>
      <c r="I53" s="183"/>
      <c r="J53" s="183"/>
      <c r="K53" s="175"/>
      <c r="L53" s="175"/>
      <c r="M53" s="175"/>
      <c r="N53" s="176"/>
      <c r="O53" s="156"/>
      <c r="P53"/>
      <c r="Q53"/>
      <c r="R53"/>
      <c r="S53"/>
    </row>
    <row r="54" spans="1:19" ht="11.25" customHeight="1">
      <c r="A54" s="16"/>
      <c r="B54" s="17"/>
      <c r="C54" s="18"/>
      <c r="D54" s="18"/>
      <c r="E54" s="53"/>
      <c r="F54" s="53"/>
      <c r="G54" s="53"/>
      <c r="H54" s="53"/>
      <c r="I54" s="53"/>
      <c r="J54" s="53"/>
      <c r="K54" s="12"/>
      <c r="L54" s="12"/>
      <c r="M54" s="12"/>
      <c r="N54" s="15"/>
      <c r="O54" s="156"/>
      <c r="P54"/>
      <c r="Q54"/>
      <c r="R54"/>
      <c r="S54"/>
    </row>
    <row r="55" spans="2:19" ht="11.25" customHeight="1" thickBot="1">
      <c r="B55" s="224"/>
      <c r="C55" s="225"/>
      <c r="D55" s="225"/>
      <c r="E55" s="225"/>
      <c r="F55" s="225"/>
      <c r="G55" s="225"/>
      <c r="H55" s="225"/>
      <c r="I55" s="225"/>
      <c r="J55" s="225"/>
      <c r="K55" s="55"/>
      <c r="L55" s="55"/>
      <c r="M55" s="55"/>
      <c r="N55" s="56"/>
      <c r="O55" s="156"/>
      <c r="P55"/>
      <c r="Q55"/>
      <c r="R55"/>
      <c r="S55"/>
    </row>
    <row r="56" spans="15:19" ht="12.75">
      <c r="O56" s="156"/>
      <c r="P56"/>
      <c r="Q56"/>
      <c r="R56"/>
      <c r="S56"/>
    </row>
  </sheetData>
  <sheetProtection/>
  <mergeCells count="20">
    <mergeCell ref="H38:N38"/>
    <mergeCell ref="B55:J55"/>
    <mergeCell ref="G8:G10"/>
    <mergeCell ref="B32:C32"/>
    <mergeCell ref="G33:G35"/>
    <mergeCell ref="I33:M33"/>
    <mergeCell ref="E24:N24"/>
    <mergeCell ref="E27:N27"/>
    <mergeCell ref="E28:N28"/>
    <mergeCell ref="B30:J30"/>
    <mergeCell ref="H37:N37"/>
    <mergeCell ref="I8:M8"/>
    <mergeCell ref="H12:N12"/>
    <mergeCell ref="H13:N13"/>
    <mergeCell ref="B2:N2"/>
    <mergeCell ref="B3:N3"/>
    <mergeCell ref="B5:D5"/>
    <mergeCell ref="B7:C7"/>
    <mergeCell ref="E25:N25"/>
    <mergeCell ref="E26:N26"/>
  </mergeCells>
  <conditionalFormatting sqref="H15:H23">
    <cfRule type="cellIs" priority="1" dxfId="2" operator="equal" stopIfTrue="1">
      <formula>MAX($H$15:$H$23)</formula>
    </cfRule>
    <cfRule type="cellIs" priority="2" dxfId="0" operator="between" stopIfTrue="1">
      <formula>MAX($H$15:$H$23)-1.5</formula>
      <formula>MAX($H$15:$H$23)-0.5</formula>
    </cfRule>
    <cfRule type="cellIs" priority="3" dxfId="0" operator="between" stopIfTrue="1">
      <formula>MAX($H$15:$H$23)+0.5</formula>
      <formula>MAX($H$15:$H$23)+1.5</formula>
    </cfRule>
  </conditionalFormatting>
  <conditionalFormatting sqref="I15:I23">
    <cfRule type="cellIs" priority="4" dxfId="2" operator="between" stopIfTrue="1">
      <formula>MAX($I$15:$I$23)-0.5</formula>
      <formula>MAX($I$15:$I$23)+0.5</formula>
    </cfRule>
    <cfRule type="cellIs" priority="5" dxfId="0" operator="between" stopIfTrue="1">
      <formula>MAX($I$15:$I$23)-0.5</formula>
      <formula>MAX($I$15:$I$23)-1.5</formula>
    </cfRule>
    <cfRule type="cellIs" priority="6" dxfId="0" operator="between" stopIfTrue="1">
      <formula>MAX($I$15:$I$23)+0.5</formula>
      <formula>MAX($I$15:$I$23)+1.5</formula>
    </cfRule>
  </conditionalFormatting>
  <conditionalFormatting sqref="J15:J23">
    <cfRule type="cellIs" priority="7" dxfId="2" operator="between" stopIfTrue="1">
      <formula>MAX($J$15:$J$23)-0.5</formula>
      <formula>MAX($J$15:$J$23)+0.5</formula>
    </cfRule>
    <cfRule type="cellIs" priority="8" dxfId="0" operator="between" stopIfTrue="1">
      <formula>MAX($J$15:$J$23)-0.5</formula>
      <formula>MAX($J$15:$J$23)-1.5</formula>
    </cfRule>
    <cfRule type="cellIs" priority="9" dxfId="0" operator="between" stopIfTrue="1">
      <formula>MAX($J$15:$J$23)+0.5</formula>
      <formula>MAX($J$15:$J$23)+1.5</formula>
    </cfRule>
  </conditionalFormatting>
  <conditionalFormatting sqref="K15:K23">
    <cfRule type="cellIs" priority="10" dxfId="2" operator="between" stopIfTrue="1">
      <formula>MAX($K$15:$K$23)-0.5</formula>
      <formula>MAX($K$15:$K$23)+0.5</formula>
    </cfRule>
    <cfRule type="cellIs" priority="11" dxfId="0" operator="between" stopIfTrue="1">
      <formula>MAX($K$15:$K$23)-0.5</formula>
      <formula>MAX($K$15:$K$23)-1.5</formula>
    </cfRule>
    <cfRule type="cellIs" priority="12" dxfId="0" operator="between" stopIfTrue="1">
      <formula>MAX($K$15:$K$23)+0.5</formula>
      <formula>MAX($K$15:$K$23)+1.5</formula>
    </cfRule>
  </conditionalFormatting>
  <conditionalFormatting sqref="L15:L23">
    <cfRule type="cellIs" priority="13" dxfId="2" operator="between" stopIfTrue="1">
      <formula>MAX($L$15:$L$23)-0.5</formula>
      <formula>MAX($L$15:$L$23)+0.5</formula>
    </cfRule>
    <cfRule type="cellIs" priority="14" dxfId="0" operator="between" stopIfTrue="1">
      <formula>MAX($L$15:$L$23)-0.5</formula>
      <formula>MAX($L$15:$L$23)-1.5</formula>
    </cfRule>
    <cfRule type="cellIs" priority="15" dxfId="0" operator="between" stopIfTrue="1">
      <formula>MAX($L$15:$L$23+0.5)</formula>
      <formula>MAX($L$15:$L$23)+1.5</formula>
    </cfRule>
  </conditionalFormatting>
  <conditionalFormatting sqref="M15:M23">
    <cfRule type="cellIs" priority="16" dxfId="2" operator="between" stopIfTrue="1">
      <formula>MAX($M$15:$M$23)-0.5</formula>
      <formula>":$M$23)+0.5"</formula>
    </cfRule>
    <cfRule type="cellIs" priority="17" dxfId="0" operator="between" stopIfTrue="1">
      <formula>MAX($M$15:$M$23)-0.5</formula>
      <formula>MAX($M$15:$M$23)-1.5</formula>
    </cfRule>
    <cfRule type="cellIs" priority="18" dxfId="0" operator="between" stopIfTrue="1">
      <formula>MAX($M$15:$M$23)+0.5</formula>
      <formula>MAX($M$15:$M$23)+1.5</formula>
    </cfRule>
  </conditionalFormatting>
  <conditionalFormatting sqref="N15:N23">
    <cfRule type="cellIs" priority="19" dxfId="2" operator="between" stopIfTrue="1">
      <formula>MAX($N$15:$N$23)-0.5</formula>
      <formula>MAX($N$15:$N$23)+0.5</formula>
    </cfRule>
    <cfRule type="cellIs" priority="20" dxfId="0" operator="between" stopIfTrue="1">
      <formula>MAX($N$15:$N$23)-0.5</formula>
      <formula>MAX($N$15:$N$23)-1.5</formula>
    </cfRule>
    <cfRule type="cellIs" priority="21" dxfId="0" operator="between" stopIfTrue="1">
      <formula>MAX($N$15:$N$23)+0.5</formula>
      <formula>MAX($N$15:$N$23)+1.5</formula>
    </cfRule>
  </conditionalFormatting>
  <conditionalFormatting sqref="H40:H48">
    <cfRule type="cellIs" priority="22" dxfId="2" operator="equal" stopIfTrue="1">
      <formula>MAX($H$40:$H$48)</formula>
    </cfRule>
    <cfRule type="cellIs" priority="23" dxfId="0" operator="between" stopIfTrue="1">
      <formula>MAX($H$40:$H$48)</formula>
      <formula>MAX($H$40:$H$50)-1</formula>
    </cfRule>
    <cfRule type="cellIs" priority="24" dxfId="0" operator="between" stopIfTrue="1">
      <formula>MAX($H$40:$H$48)</formula>
      <formula>MAX($H$40:$H$50)+1</formula>
    </cfRule>
  </conditionalFormatting>
  <conditionalFormatting sqref="I40:I48">
    <cfRule type="cellIs" priority="25" dxfId="2" operator="equal" stopIfTrue="1">
      <formula>MAX($I$40:$I$48)</formula>
    </cfRule>
    <cfRule type="cellIs" priority="26" dxfId="0" operator="between" stopIfTrue="1">
      <formula>MAX($I$40:$I$48)</formula>
      <formula>MAX($I$40:$I$48)-1</formula>
    </cfRule>
    <cfRule type="cellIs" priority="27" dxfId="0" operator="between" stopIfTrue="1">
      <formula>MAX($I$40:$I$48)</formula>
      <formula>MAX($I$40:$I$48)+1</formula>
    </cfRule>
  </conditionalFormatting>
  <conditionalFormatting sqref="J40:J48">
    <cfRule type="cellIs" priority="28" dxfId="2" operator="equal" stopIfTrue="1">
      <formula>MAX($J$40:$J$48)</formula>
    </cfRule>
    <cfRule type="cellIs" priority="29" dxfId="0" operator="between" stopIfTrue="1">
      <formula>MAX($J$40:$J$48)</formula>
      <formula>MAX($J$40:$J$48)-1</formula>
    </cfRule>
    <cfRule type="cellIs" priority="30" dxfId="0" operator="between" stopIfTrue="1">
      <formula>MAX($J$40:$J$48)</formula>
      <formula>MAX($J$40:$J$48)+1</formula>
    </cfRule>
  </conditionalFormatting>
  <conditionalFormatting sqref="K40:K48">
    <cfRule type="cellIs" priority="31" dxfId="2" operator="equal" stopIfTrue="1">
      <formula>MAX($K$40:$K$48)</formula>
    </cfRule>
    <cfRule type="cellIs" priority="32" dxfId="0" operator="between" stopIfTrue="1">
      <formula>MAX($K$40:$K$48)</formula>
      <formula>MAX($K$40:$K$48)-1</formula>
    </cfRule>
    <cfRule type="cellIs" priority="33" dxfId="0" operator="between" stopIfTrue="1">
      <formula>MAX($K$40:$K$48)</formula>
      <formula>MAX($K$40:$K$48)+1</formula>
    </cfRule>
  </conditionalFormatting>
  <conditionalFormatting sqref="L40:L48">
    <cfRule type="cellIs" priority="34" dxfId="2" operator="equal" stopIfTrue="1">
      <formula>MAX($L$40:$L$48)</formula>
    </cfRule>
    <cfRule type="cellIs" priority="35" dxfId="0" operator="between" stopIfTrue="1">
      <formula>MAX($L$40:$L$48)</formula>
      <formula>MAX($L$40:$L$48)-1</formula>
    </cfRule>
    <cfRule type="cellIs" priority="36" dxfId="0" operator="between" stopIfTrue="1">
      <formula>MAX($L$40:$L$48)</formula>
      <formula>MAX($L$40:$L$48)+1</formula>
    </cfRule>
  </conditionalFormatting>
  <conditionalFormatting sqref="M40:M48">
    <cfRule type="cellIs" priority="37" dxfId="2" operator="equal" stopIfTrue="1">
      <formula>MAX($M$40:$M$48)</formula>
    </cfRule>
    <cfRule type="cellIs" priority="38" dxfId="0" operator="between" stopIfTrue="1">
      <formula>MAX($M$40:$M$48)</formula>
      <formula>MAX($M$40:$M$48)-1</formula>
    </cfRule>
    <cfRule type="cellIs" priority="39" dxfId="0" operator="between" stopIfTrue="1">
      <formula>MAX($M$40:$M$48)</formula>
      <formula>MAX($M$40:$M$48)+1</formula>
    </cfRule>
  </conditionalFormatting>
  <conditionalFormatting sqref="N40:N48">
    <cfRule type="cellIs" priority="40" dxfId="2" operator="equal" stopIfTrue="1">
      <formula>MAX($N$40:$N$48)</formula>
    </cfRule>
    <cfRule type="cellIs" priority="41" dxfId="0" operator="between" stopIfTrue="1">
      <formula>MAX($N$40:$N$48)</formula>
      <formula>MAX($N$40:$N$48)-1</formula>
    </cfRule>
    <cfRule type="cellIs" priority="42" dxfId="0" operator="between" stopIfTrue="1">
      <formula>MAX($N$40:$N$48)</formula>
      <formula>MAX($N$40:$N$48)+1</formula>
    </cfRule>
  </conditionalFormatting>
  <hyperlinks>
    <hyperlink ref="O2" location="'Barley (Dry) MR'!A1" display="Go to Marginal Return Chart"/>
    <hyperlink ref="O3" location="'Barley (Dry) Fertilizer'!A1" display="Go to Fertilizer Price as a Variable"/>
    <hyperlink ref="O5" location="'Data Entry'!A1" display="Return to Data Entry"/>
    <hyperlink ref="G33" location="'Wheat crop price'!D47" display="Go to Total Net Return"/>
    <hyperlink ref="G33:G35" location="'Barley (Dry) Crop'!D1" display="Return to Net Return"/>
    <hyperlink ref="G8" location="'Wheat crop price'!D47" display="Go to Total Net Return"/>
    <hyperlink ref="G8:G10" location="'Barley (Dry) Crop'!D53" display="Go to Total Net Return Below"/>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S56"/>
  <sheetViews>
    <sheetView showGridLines="0" zoomScalePageLayoutView="0" workbookViewId="0" topLeftCell="A1">
      <selection activeCell="O2" sqref="O2:Q2"/>
    </sheetView>
  </sheetViews>
  <sheetFormatPr defaultColWidth="9.140625" defaultRowHeight="12.75"/>
  <cols>
    <col min="1" max="1" width="1.57421875" style="10" customWidth="1"/>
    <col min="2" max="2" width="17.28125" style="10" customWidth="1"/>
    <col min="3" max="6" width="9.140625" style="10" customWidth="1"/>
    <col min="7" max="7" width="13.57421875" style="10" customWidth="1"/>
    <col min="8" max="14" width="9.140625" style="10" customWidth="1"/>
    <col min="15" max="15" width="26.28125" style="157" customWidth="1"/>
    <col min="16" max="16" width="9.7109375" style="10" customWidth="1"/>
    <col min="17" max="16384" width="9.140625" style="10" customWidth="1"/>
  </cols>
  <sheetData>
    <row r="1" spans="2:10" ht="6" customHeight="1" thickBot="1">
      <c r="B1" s="11"/>
      <c r="C1" s="11"/>
      <c r="D1" s="11"/>
      <c r="E1" s="11"/>
      <c r="F1" s="11"/>
      <c r="G1" s="11"/>
      <c r="H1" s="11"/>
      <c r="I1" s="11"/>
      <c r="J1" s="11"/>
    </row>
    <row r="2" spans="1:17" ht="21">
      <c r="A2" s="11"/>
      <c r="B2" s="253" t="s">
        <v>40</v>
      </c>
      <c r="C2" s="254"/>
      <c r="D2" s="254"/>
      <c r="E2" s="254"/>
      <c r="F2" s="254"/>
      <c r="G2" s="254"/>
      <c r="H2" s="254"/>
      <c r="I2" s="254"/>
      <c r="J2" s="254"/>
      <c r="K2" s="254"/>
      <c r="L2" s="254"/>
      <c r="M2" s="254"/>
      <c r="N2" s="255"/>
      <c r="O2" s="274" t="s">
        <v>69</v>
      </c>
      <c r="P2" s="275"/>
      <c r="Q2" s="275"/>
    </row>
    <row r="3" spans="1:17" ht="21">
      <c r="A3" s="11"/>
      <c r="B3" s="256" t="s">
        <v>49</v>
      </c>
      <c r="C3" s="257"/>
      <c r="D3" s="257"/>
      <c r="E3" s="257"/>
      <c r="F3" s="257"/>
      <c r="G3" s="257"/>
      <c r="H3" s="257"/>
      <c r="I3" s="257"/>
      <c r="J3" s="257"/>
      <c r="K3" s="257"/>
      <c r="L3" s="257"/>
      <c r="M3" s="257"/>
      <c r="N3" s="258"/>
      <c r="O3" s="274" t="s">
        <v>76</v>
      </c>
      <c r="P3" s="275"/>
      <c r="Q3" s="275"/>
    </row>
    <row r="4" spans="1:17" ht="6.75" customHeight="1">
      <c r="A4" s="11"/>
      <c r="B4" s="13"/>
      <c r="C4" s="14"/>
      <c r="D4" s="14"/>
      <c r="E4" s="14"/>
      <c r="F4" s="14"/>
      <c r="G4" s="14"/>
      <c r="H4" s="14"/>
      <c r="I4" s="14"/>
      <c r="J4" s="14"/>
      <c r="K4" s="12"/>
      <c r="L4" s="12"/>
      <c r="M4" s="12"/>
      <c r="N4" s="15"/>
      <c r="O4" s="164"/>
      <c r="P4" s="162"/>
      <c r="Q4" s="162"/>
    </row>
    <row r="5" spans="2:17" ht="12.75">
      <c r="B5" s="259"/>
      <c r="C5" s="260"/>
      <c r="D5" s="260"/>
      <c r="E5" s="12"/>
      <c r="F5" s="12"/>
      <c r="G5" s="12"/>
      <c r="H5" s="12"/>
      <c r="I5" s="12"/>
      <c r="J5" s="12"/>
      <c r="K5" s="12"/>
      <c r="L5" s="12"/>
      <c r="M5" s="12"/>
      <c r="N5" s="15"/>
      <c r="O5" s="161" t="s">
        <v>100</v>
      </c>
      <c r="P5" s="162"/>
      <c r="Q5" s="162"/>
    </row>
    <row r="6" spans="1:15" ht="4.5" customHeight="1" thickBot="1">
      <c r="A6" s="16"/>
      <c r="B6" s="17"/>
      <c r="C6" s="18"/>
      <c r="D6" s="18"/>
      <c r="E6" s="18"/>
      <c r="F6" s="18"/>
      <c r="G6" s="18"/>
      <c r="H6" s="18"/>
      <c r="I6" s="18"/>
      <c r="J6" s="18"/>
      <c r="K6" s="12"/>
      <c r="L6" s="12"/>
      <c r="M6" s="12"/>
      <c r="N6" s="15"/>
      <c r="O6" s="158"/>
    </row>
    <row r="7" spans="1:15" ht="15.75" customHeight="1" thickBot="1">
      <c r="A7" s="16"/>
      <c r="B7" s="238" t="s">
        <v>39</v>
      </c>
      <c r="C7" s="239"/>
      <c r="D7" s="18"/>
      <c r="E7" s="18"/>
      <c r="F7" s="18"/>
      <c r="G7" s="18"/>
      <c r="H7" s="18"/>
      <c r="I7" s="19"/>
      <c r="J7" s="18"/>
      <c r="K7" s="19"/>
      <c r="L7" s="12"/>
      <c r="M7" s="12"/>
      <c r="N7" s="15"/>
      <c r="O7" s="158"/>
    </row>
    <row r="8" spans="1:15" ht="15" customHeight="1">
      <c r="A8" s="16"/>
      <c r="B8" s="87" t="s">
        <v>1</v>
      </c>
      <c r="C8" s="21" t="str">
        <f>'Data Entry'!C7</f>
        <v>UREA</v>
      </c>
      <c r="D8" s="18"/>
      <c r="E8" s="22"/>
      <c r="F8" s="23"/>
      <c r="G8" s="222" t="s">
        <v>106</v>
      </c>
      <c r="H8" s="23"/>
      <c r="I8" s="262" t="s">
        <v>22</v>
      </c>
      <c r="J8" s="263"/>
      <c r="K8" s="263"/>
      <c r="L8" s="263"/>
      <c r="M8" s="263"/>
      <c r="N8" s="24"/>
      <c r="O8" s="158"/>
    </row>
    <row r="9" spans="1:15" ht="13.5">
      <c r="A9" s="16"/>
      <c r="B9" s="20" t="s">
        <v>3</v>
      </c>
      <c r="C9" s="59">
        <f>'Data Entry'!C8</f>
        <v>600</v>
      </c>
      <c r="D9" s="18"/>
      <c r="E9" s="17"/>
      <c r="F9" s="18"/>
      <c r="G9" s="223"/>
      <c r="H9" s="18"/>
      <c r="I9" s="19"/>
      <c r="J9" s="18"/>
      <c r="K9" s="19"/>
      <c r="L9" s="12"/>
      <c r="M9" s="12"/>
      <c r="N9" s="15"/>
      <c r="O9" s="158"/>
    </row>
    <row r="10" spans="1:15" ht="13.5">
      <c r="A10" s="16"/>
      <c r="B10" s="20" t="s">
        <v>4</v>
      </c>
      <c r="C10" s="25">
        <f>'Data Entry'!C9</f>
        <v>46</v>
      </c>
      <c r="D10" s="18"/>
      <c r="E10" s="17"/>
      <c r="F10" s="18"/>
      <c r="G10" s="223"/>
      <c r="H10" s="26">
        <f>K10-C14*3</f>
        <v>1</v>
      </c>
      <c r="I10" s="26">
        <f>K10-C14*2</f>
        <v>1.5</v>
      </c>
      <c r="J10" s="26">
        <f>K10-C14</f>
        <v>2</v>
      </c>
      <c r="K10" s="27">
        <f>'Data Entry'!F15</f>
        <v>2.5</v>
      </c>
      <c r="L10" s="26">
        <f>K10+C14</f>
        <v>3</v>
      </c>
      <c r="M10" s="26">
        <f>K10+C14*2</f>
        <v>3.5</v>
      </c>
      <c r="N10" s="28">
        <f>K10+C14*3</f>
        <v>4</v>
      </c>
      <c r="O10" s="158"/>
    </row>
    <row r="11" spans="1:15" ht="13.5">
      <c r="A11" s="16"/>
      <c r="B11" s="20" t="s">
        <v>5</v>
      </c>
      <c r="C11" s="61">
        <f>(C9/((C10/100)*2200))</f>
        <v>0.5928853754940712</v>
      </c>
      <c r="D11" s="18"/>
      <c r="E11" s="17"/>
      <c r="F11" s="18"/>
      <c r="G11" s="29" t="s">
        <v>6</v>
      </c>
      <c r="H11" s="18"/>
      <c r="I11" s="18"/>
      <c r="J11" s="18"/>
      <c r="K11" s="12"/>
      <c r="L11" s="12"/>
      <c r="M11" s="12"/>
      <c r="N11" s="15"/>
      <c r="O11" s="158"/>
    </row>
    <row r="12" spans="1:19" ht="13.5">
      <c r="A12" s="16"/>
      <c r="B12" s="30" t="s">
        <v>20</v>
      </c>
      <c r="C12" s="31">
        <f>'Data Entry'!C11</f>
        <v>10</v>
      </c>
      <c r="D12" s="18"/>
      <c r="E12" s="32"/>
      <c r="F12" s="29" t="s">
        <v>67</v>
      </c>
      <c r="G12" s="29" t="s">
        <v>7</v>
      </c>
      <c r="H12" s="264" t="s">
        <v>8</v>
      </c>
      <c r="I12" s="264"/>
      <c r="J12" s="264"/>
      <c r="K12" s="264"/>
      <c r="L12" s="264"/>
      <c r="M12" s="264"/>
      <c r="N12" s="265"/>
      <c r="O12" s="156"/>
      <c r="P12"/>
      <c r="Q12"/>
      <c r="R12"/>
      <c r="S12"/>
    </row>
    <row r="13" spans="1:19" ht="14.25" thickBot="1">
      <c r="A13" s="16"/>
      <c r="B13" s="33" t="s">
        <v>113</v>
      </c>
      <c r="C13" s="34"/>
      <c r="D13" s="18"/>
      <c r="E13" s="35" t="s">
        <v>9</v>
      </c>
      <c r="F13" s="36" t="s">
        <v>68</v>
      </c>
      <c r="G13" s="36" t="s">
        <v>10</v>
      </c>
      <c r="H13" s="228" t="s">
        <v>23</v>
      </c>
      <c r="I13" s="228"/>
      <c r="J13" s="228"/>
      <c r="K13" s="228"/>
      <c r="L13" s="228"/>
      <c r="M13" s="228"/>
      <c r="N13" s="229"/>
      <c r="O13" s="156"/>
      <c r="P13"/>
      <c r="Q13"/>
      <c r="R13"/>
      <c r="S13"/>
    </row>
    <row r="14" spans="1:19" ht="13.5">
      <c r="A14" s="16"/>
      <c r="B14" s="37" t="s">
        <v>115</v>
      </c>
      <c r="C14" s="38">
        <f>'Data Entry'!C13</f>
        <v>0.5</v>
      </c>
      <c r="D14" s="18"/>
      <c r="E14" s="39" t="s">
        <v>11</v>
      </c>
      <c r="F14" s="40" t="s">
        <v>12</v>
      </c>
      <c r="G14" s="40" t="s">
        <v>12</v>
      </c>
      <c r="H14" s="41">
        <f aca="true" t="shared" si="0" ref="H14:N14">H10/$C$11</f>
        <v>1.6866666666666665</v>
      </c>
      <c r="I14" s="41">
        <f t="shared" si="0"/>
        <v>2.53</v>
      </c>
      <c r="J14" s="41">
        <f t="shared" si="0"/>
        <v>3.373333333333333</v>
      </c>
      <c r="K14" s="41">
        <f t="shared" si="0"/>
        <v>4.216666666666667</v>
      </c>
      <c r="L14" s="41">
        <f t="shared" si="0"/>
        <v>5.06</v>
      </c>
      <c r="M14" s="41">
        <f t="shared" si="0"/>
        <v>5.903333333333333</v>
      </c>
      <c r="N14" s="42">
        <f t="shared" si="0"/>
        <v>6.746666666666666</v>
      </c>
      <c r="O14" s="156"/>
      <c r="P14"/>
      <c r="Q14"/>
      <c r="R14"/>
      <c r="S14"/>
    </row>
    <row r="15" spans="1:19" ht="13.5">
      <c r="A15" s="16"/>
      <c r="B15" s="43" t="s">
        <v>28</v>
      </c>
      <c r="C15" s="34"/>
      <c r="D15" s="18"/>
      <c r="E15" s="44">
        <f>IF((E19-4*$C$12)&lt;0,0,(E19-4*$C$12))</f>
        <v>0</v>
      </c>
      <c r="F15" s="128">
        <f>G15+(-0.0032*($C$16)^2+0.6709*($C$16))+23.93</f>
        <v>41.17700000000001</v>
      </c>
      <c r="G15" s="128">
        <f>IF((O15=-(-0.0032*($C$16)^2+0.6709*($C$16)-(-0.0032*($C$16)^2+0.6709*($C$16))))&lt;0,0,(-0.0032*(E15+$C$16)^2+0.6709*(E15+$C$16))-(-0.0032*($C$16)^2+0.6709*($C$16)))</f>
        <v>0</v>
      </c>
      <c r="H15" s="137">
        <f aca="true" t="shared" si="1" ref="H15:N23">(H$10*$G15)-($C$11*($E15))</f>
        <v>0</v>
      </c>
      <c r="I15" s="137">
        <f t="shared" si="1"/>
        <v>0</v>
      </c>
      <c r="J15" s="137">
        <f t="shared" si="1"/>
        <v>0</v>
      </c>
      <c r="K15" s="137">
        <f t="shared" si="1"/>
        <v>0</v>
      </c>
      <c r="L15" s="137">
        <f t="shared" si="1"/>
        <v>0</v>
      </c>
      <c r="M15" s="137">
        <f t="shared" si="1"/>
        <v>0</v>
      </c>
      <c r="N15" s="138">
        <f t="shared" si="1"/>
        <v>0</v>
      </c>
      <c r="O15" s="156"/>
      <c r="P15"/>
      <c r="Q15"/>
      <c r="R15"/>
      <c r="S15"/>
    </row>
    <row r="16" spans="1:19" ht="13.5">
      <c r="A16" s="16"/>
      <c r="B16" s="37" t="s">
        <v>29</v>
      </c>
      <c r="C16" s="45">
        <f>'Data Entry'!C15</f>
        <v>30</v>
      </c>
      <c r="D16" s="18"/>
      <c r="E16" s="44">
        <f>IF((E20-4*$C$12)&lt;0,0,(E20-4*$C$12))</f>
        <v>10</v>
      </c>
      <c r="F16" s="128">
        <f aca="true" t="shared" si="2" ref="F16:F23">G16+(-0.0032*($C$16)^2+0.6709*($C$16))+23.93</f>
        <v>45.646</v>
      </c>
      <c r="G16" s="128">
        <f aca="true" t="shared" si="3" ref="G16:G23">IF(((-0.0032*(E16+$C$16)^2+0.6709*(E16+$C$16))-(-0.0032*($C$16)^2+0.6709*($C$16)))&lt;0,0,(-0.0032*(E16+$C$16)^2+0.6709*(E16+$C$16))-(-0.0032*($C$16)^2+0.6709*($C$16)))</f>
        <v>4.468999999999998</v>
      </c>
      <c r="H16" s="137">
        <f t="shared" si="1"/>
        <v>-1.4598537549407142</v>
      </c>
      <c r="I16" s="137">
        <f t="shared" si="1"/>
        <v>0.7746462450592846</v>
      </c>
      <c r="J16" s="137">
        <f t="shared" si="1"/>
        <v>3.0091462450592834</v>
      </c>
      <c r="K16" s="137">
        <f t="shared" si="1"/>
        <v>5.243646245059282</v>
      </c>
      <c r="L16" s="137">
        <f t="shared" si="1"/>
        <v>7.478146245059281</v>
      </c>
      <c r="M16" s="137">
        <f t="shared" si="1"/>
        <v>9.712646245059279</v>
      </c>
      <c r="N16" s="138">
        <f t="shared" si="1"/>
        <v>11.94714624505928</v>
      </c>
      <c r="O16" s="156"/>
      <c r="P16"/>
      <c r="Q16"/>
      <c r="R16"/>
      <c r="S16"/>
    </row>
    <row r="17" spans="1:19" ht="13.5">
      <c r="A17" s="16"/>
      <c r="B17" s="43" t="s">
        <v>30</v>
      </c>
      <c r="C17" s="46"/>
      <c r="D17" s="18"/>
      <c r="E17" s="44">
        <f>IF((E21-4*$C$12)&lt;0,0,(E21-4*$C$12))</f>
        <v>20</v>
      </c>
      <c r="F17" s="128">
        <f t="shared" si="2"/>
        <v>49.475</v>
      </c>
      <c r="G17" s="128">
        <f t="shared" si="3"/>
        <v>8.297999999999998</v>
      </c>
      <c r="H17" s="137">
        <f t="shared" si="1"/>
        <v>-3.5597075098814255</v>
      </c>
      <c r="I17" s="137">
        <f t="shared" si="1"/>
        <v>0.5892924901185737</v>
      </c>
      <c r="J17" s="137">
        <f t="shared" si="1"/>
        <v>4.738292490118573</v>
      </c>
      <c r="K17" s="137">
        <f t="shared" si="1"/>
        <v>8.887292490118574</v>
      </c>
      <c r="L17" s="137">
        <f t="shared" si="1"/>
        <v>13.036292490118571</v>
      </c>
      <c r="M17" s="137">
        <f t="shared" si="1"/>
        <v>17.18529249011857</v>
      </c>
      <c r="N17" s="138">
        <f t="shared" si="1"/>
        <v>21.33429249011857</v>
      </c>
      <c r="O17" s="156"/>
      <c r="P17"/>
      <c r="Q17"/>
      <c r="R17"/>
      <c r="S17"/>
    </row>
    <row r="18" spans="1:19" ht="14.25" thickBot="1">
      <c r="A18" s="16"/>
      <c r="B18" s="17"/>
      <c r="C18" s="18"/>
      <c r="D18" s="18"/>
      <c r="E18" s="44">
        <f>IF((E22-4*$C$12)&lt;0,0,(E22-4*$C$12))</f>
        <v>30</v>
      </c>
      <c r="F18" s="128">
        <f t="shared" si="2"/>
        <v>52.664</v>
      </c>
      <c r="G18" s="128">
        <f t="shared" si="3"/>
        <v>11.486999999999998</v>
      </c>
      <c r="H18" s="137">
        <f t="shared" si="1"/>
        <v>-6.299561264822138</v>
      </c>
      <c r="I18" s="137">
        <f t="shared" si="1"/>
        <v>-0.5560612648221372</v>
      </c>
      <c r="J18" s="137">
        <f t="shared" si="1"/>
        <v>5.18743873517786</v>
      </c>
      <c r="K18" s="137">
        <f t="shared" si="1"/>
        <v>10.930938735177858</v>
      </c>
      <c r="L18" s="137">
        <f t="shared" si="1"/>
        <v>16.674438735177862</v>
      </c>
      <c r="M18" s="137">
        <f t="shared" si="1"/>
        <v>22.41793873517786</v>
      </c>
      <c r="N18" s="138">
        <f t="shared" si="1"/>
        <v>28.161438735177857</v>
      </c>
      <c r="O18" s="156"/>
      <c r="P18"/>
      <c r="Q18"/>
      <c r="R18"/>
      <c r="S18"/>
    </row>
    <row r="19" spans="1:19" ht="14.25" thickBot="1">
      <c r="A19" s="16"/>
      <c r="B19" s="54"/>
      <c r="C19" s="48"/>
      <c r="D19" s="49" t="s">
        <v>13</v>
      </c>
      <c r="E19" s="50">
        <f>'Data Entry'!H10</f>
        <v>40</v>
      </c>
      <c r="F19" s="128">
        <f t="shared" si="2"/>
        <v>55.213</v>
      </c>
      <c r="G19" s="128">
        <f t="shared" si="3"/>
        <v>14.035999999999998</v>
      </c>
      <c r="H19" s="137">
        <f t="shared" si="1"/>
        <v>-9.67941501976285</v>
      </c>
      <c r="I19" s="137">
        <f t="shared" si="1"/>
        <v>-2.6614150197628526</v>
      </c>
      <c r="J19" s="137">
        <f t="shared" si="1"/>
        <v>4.356584980237148</v>
      </c>
      <c r="K19" s="137">
        <f t="shared" si="1"/>
        <v>11.374584980237149</v>
      </c>
      <c r="L19" s="137">
        <f t="shared" si="1"/>
        <v>18.392584980237142</v>
      </c>
      <c r="M19" s="137">
        <f t="shared" si="1"/>
        <v>25.410584980237143</v>
      </c>
      <c r="N19" s="138">
        <f t="shared" si="1"/>
        <v>32.42858498023715</v>
      </c>
      <c r="O19" s="156"/>
      <c r="P19"/>
      <c r="Q19"/>
      <c r="R19"/>
      <c r="S19"/>
    </row>
    <row r="20" spans="1:19" ht="13.5">
      <c r="A20" s="16"/>
      <c r="B20" s="17"/>
      <c r="C20" s="18"/>
      <c r="D20" s="18"/>
      <c r="E20" s="51">
        <f>E19+C12</f>
        <v>50</v>
      </c>
      <c r="F20" s="128">
        <f t="shared" si="2"/>
        <v>57.12200000000001</v>
      </c>
      <c r="G20" s="128">
        <f t="shared" si="3"/>
        <v>15.945000000000004</v>
      </c>
      <c r="H20" s="137">
        <f t="shared" si="1"/>
        <v>-13.699268774703555</v>
      </c>
      <c r="I20" s="137">
        <f t="shared" si="1"/>
        <v>-5.7267687747035545</v>
      </c>
      <c r="J20" s="137">
        <f t="shared" si="1"/>
        <v>2.245731225296449</v>
      </c>
      <c r="K20" s="137">
        <f t="shared" si="1"/>
        <v>10.218231225296453</v>
      </c>
      <c r="L20" s="137">
        <f t="shared" si="1"/>
        <v>18.19073122529645</v>
      </c>
      <c r="M20" s="137">
        <f t="shared" si="1"/>
        <v>26.163231225296453</v>
      </c>
      <c r="N20" s="138">
        <f t="shared" si="1"/>
        <v>34.13573122529645</v>
      </c>
      <c r="O20" s="156"/>
      <c r="P20"/>
      <c r="Q20"/>
      <c r="R20"/>
      <c r="S20"/>
    </row>
    <row r="21" spans="1:19" ht="13.5">
      <c r="A21" s="16"/>
      <c r="B21" s="17"/>
      <c r="C21" s="18"/>
      <c r="D21" s="18"/>
      <c r="E21" s="51">
        <f>E19+2*C12</f>
        <v>60</v>
      </c>
      <c r="F21" s="128">
        <f t="shared" si="2"/>
        <v>58.391000000000005</v>
      </c>
      <c r="G21" s="128">
        <f t="shared" si="3"/>
        <v>17.214000000000002</v>
      </c>
      <c r="H21" s="137">
        <f t="shared" si="1"/>
        <v>-18.35912252964427</v>
      </c>
      <c r="I21" s="137">
        <f t="shared" si="1"/>
        <v>-9.752122529644268</v>
      </c>
      <c r="J21" s="137">
        <f t="shared" si="1"/>
        <v>-1.1451225296442686</v>
      </c>
      <c r="K21" s="137">
        <f t="shared" si="1"/>
        <v>7.461877470355731</v>
      </c>
      <c r="L21" s="137">
        <f t="shared" si="1"/>
        <v>16.068877470355737</v>
      </c>
      <c r="M21" s="137">
        <f t="shared" si="1"/>
        <v>24.675877470355736</v>
      </c>
      <c r="N21" s="138">
        <f t="shared" si="1"/>
        <v>33.282877470355736</v>
      </c>
      <c r="O21" s="156"/>
      <c r="P21"/>
      <c r="Q21"/>
      <c r="R21"/>
      <c r="S21"/>
    </row>
    <row r="22" spans="1:19" ht="13.5">
      <c r="A22" s="16"/>
      <c r="B22" s="17"/>
      <c r="C22" s="18"/>
      <c r="D22" s="18"/>
      <c r="E22" s="51">
        <f>E19+3*C12</f>
        <v>70</v>
      </c>
      <c r="F22" s="128">
        <f t="shared" si="2"/>
        <v>59.02</v>
      </c>
      <c r="G22" s="128">
        <f t="shared" si="3"/>
        <v>17.843</v>
      </c>
      <c r="H22" s="137">
        <f t="shared" si="1"/>
        <v>-23.658976284584984</v>
      </c>
      <c r="I22" s="137">
        <f t="shared" si="1"/>
        <v>-14.737476284584986</v>
      </c>
      <c r="J22" s="137">
        <f t="shared" si="1"/>
        <v>-5.815976284584984</v>
      </c>
      <c r="K22" s="137">
        <f t="shared" si="1"/>
        <v>3.1055237154150177</v>
      </c>
      <c r="L22" s="137">
        <f t="shared" si="1"/>
        <v>12.027023715415012</v>
      </c>
      <c r="M22" s="137">
        <f t="shared" si="1"/>
        <v>20.948523715415014</v>
      </c>
      <c r="N22" s="138">
        <f t="shared" si="1"/>
        <v>29.870023715415016</v>
      </c>
      <c r="O22" s="156"/>
      <c r="P22"/>
      <c r="Q22"/>
      <c r="R22"/>
      <c r="S22"/>
    </row>
    <row r="23" spans="1:19" ht="13.5">
      <c r="A23" s="16"/>
      <c r="B23" s="17"/>
      <c r="C23" s="18"/>
      <c r="D23" s="18"/>
      <c r="E23" s="51">
        <f>E19+4*C12</f>
        <v>80</v>
      </c>
      <c r="F23" s="128">
        <f t="shared" si="2"/>
        <v>59.00900000000001</v>
      </c>
      <c r="G23" s="128">
        <f t="shared" si="3"/>
        <v>17.832000000000004</v>
      </c>
      <c r="H23" s="137">
        <f t="shared" si="1"/>
        <v>-29.59883003952569</v>
      </c>
      <c r="I23" s="137">
        <f t="shared" si="1"/>
        <v>-20.68283003952569</v>
      </c>
      <c r="J23" s="137">
        <f t="shared" si="1"/>
        <v>-11.766830039525686</v>
      </c>
      <c r="K23" s="137">
        <f t="shared" si="1"/>
        <v>-2.8508300395256825</v>
      </c>
      <c r="L23" s="137">
        <f t="shared" si="1"/>
        <v>6.065169960474314</v>
      </c>
      <c r="M23" s="137">
        <f t="shared" si="1"/>
        <v>14.981169960474318</v>
      </c>
      <c r="N23" s="138">
        <f t="shared" si="1"/>
        <v>23.897169960474322</v>
      </c>
      <c r="O23" s="156"/>
      <c r="P23"/>
      <c r="Q23"/>
      <c r="R23"/>
      <c r="S23"/>
    </row>
    <row r="24" spans="1:19" ht="13.5" customHeight="1">
      <c r="A24" s="16"/>
      <c r="B24" s="17"/>
      <c r="C24" s="18"/>
      <c r="D24" s="18"/>
      <c r="E24" s="276" t="s">
        <v>55</v>
      </c>
      <c r="F24" s="277"/>
      <c r="G24" s="277"/>
      <c r="H24" s="277"/>
      <c r="I24" s="277"/>
      <c r="J24" s="277"/>
      <c r="K24" s="277"/>
      <c r="L24" s="277"/>
      <c r="M24" s="277"/>
      <c r="N24" s="278"/>
      <c r="O24" s="156"/>
      <c r="P24"/>
      <c r="Q24"/>
      <c r="R24"/>
      <c r="S24"/>
    </row>
    <row r="25" spans="1:19" ht="9.75" customHeight="1">
      <c r="A25" s="16"/>
      <c r="B25" s="17"/>
      <c r="C25" s="18"/>
      <c r="D25" s="18"/>
      <c r="E25" s="266" t="s">
        <v>16</v>
      </c>
      <c r="F25" s="267"/>
      <c r="G25" s="267"/>
      <c r="H25" s="267"/>
      <c r="I25" s="267"/>
      <c r="J25" s="267"/>
      <c r="K25" s="267"/>
      <c r="L25" s="267"/>
      <c r="M25" s="267"/>
      <c r="N25" s="268"/>
      <c r="O25" s="156"/>
      <c r="P25"/>
      <c r="Q25"/>
      <c r="R25"/>
      <c r="S25"/>
    </row>
    <row r="26" spans="1:19" ht="9.75" customHeight="1">
      <c r="A26" s="16"/>
      <c r="B26" s="17"/>
      <c r="C26" s="18"/>
      <c r="D26" s="18"/>
      <c r="E26" s="266" t="s">
        <v>24</v>
      </c>
      <c r="F26" s="267"/>
      <c r="G26" s="267"/>
      <c r="H26" s="267"/>
      <c r="I26" s="267"/>
      <c r="J26" s="267"/>
      <c r="K26" s="267"/>
      <c r="L26" s="267"/>
      <c r="M26" s="267"/>
      <c r="N26" s="268"/>
      <c r="O26" s="156"/>
      <c r="P26"/>
      <c r="Q26"/>
      <c r="R26"/>
      <c r="S26"/>
    </row>
    <row r="27" spans="1:19" ht="11.25" customHeight="1">
      <c r="A27" s="16"/>
      <c r="B27" s="17"/>
      <c r="C27" s="18"/>
      <c r="D27" s="18"/>
      <c r="E27" s="245" t="s">
        <v>91</v>
      </c>
      <c r="F27" s="246"/>
      <c r="G27" s="246"/>
      <c r="H27" s="246"/>
      <c r="I27" s="246"/>
      <c r="J27" s="246"/>
      <c r="K27" s="247"/>
      <c r="L27" s="247"/>
      <c r="M27" s="247"/>
      <c r="N27" s="248"/>
      <c r="O27" s="156"/>
      <c r="P27"/>
      <c r="Q27"/>
      <c r="R27"/>
      <c r="S27"/>
    </row>
    <row r="28" spans="1:19" ht="12" customHeight="1" thickBot="1">
      <c r="A28" s="16"/>
      <c r="B28" s="17"/>
      <c r="C28" s="18"/>
      <c r="D28" s="18"/>
      <c r="E28" s="269" t="s">
        <v>38</v>
      </c>
      <c r="F28" s="270"/>
      <c r="G28" s="271"/>
      <c r="H28" s="271"/>
      <c r="I28" s="271"/>
      <c r="J28" s="271"/>
      <c r="K28" s="272"/>
      <c r="L28" s="272"/>
      <c r="M28" s="272"/>
      <c r="N28" s="273"/>
      <c r="O28" s="156"/>
      <c r="P28"/>
      <c r="Q28"/>
      <c r="R28"/>
      <c r="S28"/>
    </row>
    <row r="29" spans="1:19" ht="10.5" customHeight="1">
      <c r="A29" s="16"/>
      <c r="B29" s="17"/>
      <c r="C29" s="18"/>
      <c r="D29" s="18"/>
      <c r="E29" s="53"/>
      <c r="F29" s="53"/>
      <c r="G29" s="53"/>
      <c r="H29" s="53"/>
      <c r="I29" s="53"/>
      <c r="J29" s="53"/>
      <c r="K29" s="12"/>
      <c r="L29" s="12"/>
      <c r="M29" s="12"/>
      <c r="N29" s="15"/>
      <c r="O29" s="156"/>
      <c r="P29"/>
      <c r="Q29"/>
      <c r="R29"/>
      <c r="S29"/>
    </row>
    <row r="30" spans="2:19" ht="10.5" customHeight="1" thickBot="1">
      <c r="B30" s="224"/>
      <c r="C30" s="225"/>
      <c r="D30" s="225"/>
      <c r="E30" s="225"/>
      <c r="F30" s="225"/>
      <c r="G30" s="225"/>
      <c r="H30" s="225"/>
      <c r="I30" s="225"/>
      <c r="J30" s="225"/>
      <c r="K30" s="55"/>
      <c r="L30" s="55"/>
      <c r="M30" s="55"/>
      <c r="N30" s="56"/>
      <c r="O30" s="156"/>
      <c r="P30"/>
      <c r="Q30"/>
      <c r="R30"/>
      <c r="S30"/>
    </row>
    <row r="31" spans="2:19" ht="4.5" customHeight="1" thickBot="1">
      <c r="B31" s="194"/>
      <c r="N31" s="24"/>
      <c r="O31" s="156"/>
      <c r="P31"/>
      <c r="Q31"/>
      <c r="R31"/>
      <c r="S31"/>
    </row>
    <row r="32" spans="1:15" ht="15.75" customHeight="1" thickBot="1">
      <c r="A32" s="16"/>
      <c r="B32" s="238" t="s">
        <v>39</v>
      </c>
      <c r="C32" s="239"/>
      <c r="E32" s="18"/>
      <c r="F32" s="18"/>
      <c r="G32" s="18"/>
      <c r="H32" s="18"/>
      <c r="I32" s="19"/>
      <c r="J32" s="18"/>
      <c r="K32" s="19"/>
      <c r="L32" s="12"/>
      <c r="M32" s="12"/>
      <c r="N32" s="15"/>
      <c r="O32" s="158"/>
    </row>
    <row r="33" spans="1:15" ht="15" customHeight="1">
      <c r="A33" s="16"/>
      <c r="B33" s="87" t="s">
        <v>1</v>
      </c>
      <c r="C33" s="21" t="str">
        <f>'Data Entry'!C7</f>
        <v>UREA</v>
      </c>
      <c r="D33" s="18"/>
      <c r="F33" s="22"/>
      <c r="G33" s="222" t="s">
        <v>108</v>
      </c>
      <c r="H33" s="23"/>
      <c r="I33" s="262" t="s">
        <v>22</v>
      </c>
      <c r="J33" s="263"/>
      <c r="K33" s="263"/>
      <c r="L33" s="263"/>
      <c r="M33" s="263"/>
      <c r="N33" s="24"/>
      <c r="O33" s="158"/>
    </row>
    <row r="34" spans="1:15" ht="13.5">
      <c r="A34" s="16"/>
      <c r="B34" s="20" t="s">
        <v>3</v>
      </c>
      <c r="C34" s="184">
        <f>'Data Entry'!C8</f>
        <v>600</v>
      </c>
      <c r="D34" s="18"/>
      <c r="F34" s="17"/>
      <c r="G34" s="223"/>
      <c r="H34" s="18"/>
      <c r="I34" s="19"/>
      <c r="J34" s="18"/>
      <c r="K34" s="19"/>
      <c r="L34" s="12"/>
      <c r="M34" s="12"/>
      <c r="N34" s="15"/>
      <c r="O34" s="158"/>
    </row>
    <row r="35" spans="1:15" ht="13.5">
      <c r="A35" s="16"/>
      <c r="B35" s="20" t="s">
        <v>4</v>
      </c>
      <c r="C35" s="25">
        <f>'Data Entry'!C9</f>
        <v>46</v>
      </c>
      <c r="D35" s="18"/>
      <c r="F35" s="17"/>
      <c r="G35" s="223"/>
      <c r="H35" s="26">
        <f>K35-C39*3</f>
        <v>1</v>
      </c>
      <c r="I35" s="26">
        <f>K35-C39*2</f>
        <v>1.5</v>
      </c>
      <c r="J35" s="26">
        <f>K35-C39</f>
        <v>2</v>
      </c>
      <c r="K35" s="27">
        <f>'Data Entry'!F15</f>
        <v>2.5</v>
      </c>
      <c r="L35" s="26">
        <f>K35+C39</f>
        <v>3</v>
      </c>
      <c r="M35" s="26">
        <f>K35+C39*2</f>
        <v>3.5</v>
      </c>
      <c r="N35" s="28">
        <f>K35+C39*3</f>
        <v>4</v>
      </c>
      <c r="O35" s="158"/>
    </row>
    <row r="36" spans="1:15" ht="13.5">
      <c r="A36" s="16"/>
      <c r="B36" s="20" t="s">
        <v>5</v>
      </c>
      <c r="C36" s="61">
        <f>(C34/((C35/100)*2200))</f>
        <v>0.5928853754940712</v>
      </c>
      <c r="D36" s="18"/>
      <c r="F36" s="17"/>
      <c r="G36" s="29" t="s">
        <v>6</v>
      </c>
      <c r="H36" s="18"/>
      <c r="I36" s="18"/>
      <c r="J36" s="18"/>
      <c r="K36" s="12"/>
      <c r="L36" s="12"/>
      <c r="M36" s="12"/>
      <c r="N36" s="15"/>
      <c r="O36" s="158"/>
    </row>
    <row r="37" spans="1:19" ht="13.5">
      <c r="A37" s="16"/>
      <c r="B37" s="30" t="s">
        <v>20</v>
      </c>
      <c r="C37" s="31">
        <f>'Data Entry'!C11</f>
        <v>10</v>
      </c>
      <c r="D37" s="18"/>
      <c r="F37" s="32"/>
      <c r="G37" s="70" t="s">
        <v>67</v>
      </c>
      <c r="H37" s="264" t="s">
        <v>8</v>
      </c>
      <c r="I37" s="264"/>
      <c r="J37" s="264"/>
      <c r="K37" s="264"/>
      <c r="L37" s="264"/>
      <c r="M37" s="264"/>
      <c r="N37" s="265"/>
      <c r="O37" s="156"/>
      <c r="P37"/>
      <c r="Q37"/>
      <c r="R37"/>
      <c r="S37"/>
    </row>
    <row r="38" spans="1:19" ht="14.25" thickBot="1">
      <c r="A38" s="16"/>
      <c r="B38" s="33" t="s">
        <v>113</v>
      </c>
      <c r="C38" s="34"/>
      <c r="D38" s="18"/>
      <c r="F38" s="35" t="s">
        <v>9</v>
      </c>
      <c r="G38" s="73" t="s">
        <v>68</v>
      </c>
      <c r="H38" s="228" t="s">
        <v>23</v>
      </c>
      <c r="I38" s="228"/>
      <c r="J38" s="228"/>
      <c r="K38" s="228"/>
      <c r="L38" s="228"/>
      <c r="M38" s="228"/>
      <c r="N38" s="229"/>
      <c r="O38" s="156"/>
      <c r="P38"/>
      <c r="Q38"/>
      <c r="R38"/>
      <c r="S38"/>
    </row>
    <row r="39" spans="1:19" ht="13.5">
      <c r="A39" s="16"/>
      <c r="B39" s="37" t="s">
        <v>115</v>
      </c>
      <c r="C39" s="57">
        <f>'Data Entry'!C13</f>
        <v>0.5</v>
      </c>
      <c r="D39" s="18"/>
      <c r="F39" s="39" t="s">
        <v>11</v>
      </c>
      <c r="G39" s="75" t="s">
        <v>12</v>
      </c>
      <c r="H39" s="41">
        <f aca="true" t="shared" si="4" ref="H39:N39">H35/$C$11</f>
        <v>1.6866666666666665</v>
      </c>
      <c r="I39" s="41">
        <f t="shared" si="4"/>
        <v>2.53</v>
      </c>
      <c r="J39" s="41">
        <f t="shared" si="4"/>
        <v>3.373333333333333</v>
      </c>
      <c r="K39" s="41">
        <f t="shared" si="4"/>
        <v>4.216666666666667</v>
      </c>
      <c r="L39" s="41">
        <f t="shared" si="4"/>
        <v>5.06</v>
      </c>
      <c r="M39" s="41">
        <f t="shared" si="4"/>
        <v>5.903333333333333</v>
      </c>
      <c r="N39" s="42">
        <f t="shared" si="4"/>
        <v>6.746666666666666</v>
      </c>
      <c r="O39" s="156"/>
      <c r="P39"/>
      <c r="Q39"/>
      <c r="R39"/>
      <c r="S39"/>
    </row>
    <row r="40" spans="1:19" ht="13.5">
      <c r="A40" s="16"/>
      <c r="B40" s="43" t="s">
        <v>28</v>
      </c>
      <c r="C40" s="34"/>
      <c r="D40" s="18"/>
      <c r="F40" s="44">
        <f>IF((F44-4*$C$12)&lt;0,0,(F44-4*$C$12))</f>
        <v>10</v>
      </c>
      <c r="G40" s="128">
        <f>G15+(-0.0032*($C$16)^2+0.6709*($C$16))+23.93</f>
        <v>41.17700000000001</v>
      </c>
      <c r="H40" s="137">
        <f aca="true" t="shared" si="5" ref="H40:N40">(H$10*$G40)-($C$11*($F40))</f>
        <v>35.248146245059296</v>
      </c>
      <c r="I40" s="137">
        <f t="shared" si="5"/>
        <v>55.8366462450593</v>
      </c>
      <c r="J40" s="137">
        <f t="shared" si="5"/>
        <v>76.4251462450593</v>
      </c>
      <c r="K40" s="137">
        <f t="shared" si="5"/>
        <v>97.0136462450593</v>
      </c>
      <c r="L40" s="137">
        <f t="shared" si="5"/>
        <v>117.6021462450593</v>
      </c>
      <c r="M40" s="137">
        <f t="shared" si="5"/>
        <v>138.1906462450593</v>
      </c>
      <c r="N40" s="138">
        <f t="shared" si="5"/>
        <v>158.7791462450593</v>
      </c>
      <c r="O40" s="156"/>
      <c r="P40"/>
      <c r="Q40"/>
      <c r="R40"/>
      <c r="S40"/>
    </row>
    <row r="41" spans="1:19" ht="13.5">
      <c r="A41" s="16"/>
      <c r="B41" s="37" t="s">
        <v>29</v>
      </c>
      <c r="C41" s="45">
        <f>'Data Entry'!C15</f>
        <v>30</v>
      </c>
      <c r="D41" s="18"/>
      <c r="F41" s="44">
        <f>IF((F45-4*$C$12)&lt;0,0,(F45-4*$C$12))</f>
        <v>20</v>
      </c>
      <c r="G41" s="128">
        <f aca="true" t="shared" si="6" ref="G41:G48">G16+(-0.0032*($C$16)^2+0.6709*($C$16))+23.93</f>
        <v>45.646</v>
      </c>
      <c r="H41" s="137">
        <f aca="true" t="shared" si="7" ref="H41:N48">(H$10*$G41)-($C$11*($F41))</f>
        <v>33.78829249011858</v>
      </c>
      <c r="I41" s="137">
        <f t="shared" si="7"/>
        <v>56.61129249011857</v>
      </c>
      <c r="J41" s="137">
        <f t="shared" si="7"/>
        <v>79.43429249011858</v>
      </c>
      <c r="K41" s="137">
        <f t="shared" si="7"/>
        <v>102.25729249011859</v>
      </c>
      <c r="L41" s="137">
        <f t="shared" si="7"/>
        <v>125.08029249011857</v>
      </c>
      <c r="M41" s="137">
        <f t="shared" si="7"/>
        <v>147.90329249011856</v>
      </c>
      <c r="N41" s="138">
        <f t="shared" si="7"/>
        <v>170.72629249011857</v>
      </c>
      <c r="O41" s="156"/>
      <c r="P41"/>
      <c r="Q41"/>
      <c r="R41"/>
      <c r="S41"/>
    </row>
    <row r="42" spans="1:19" ht="13.5">
      <c r="A42" s="16"/>
      <c r="B42" s="43" t="s">
        <v>30</v>
      </c>
      <c r="C42" s="46"/>
      <c r="D42" s="18"/>
      <c r="F42" s="44">
        <f>IF((F46-4*$C$12)&lt;0,0,(F46-4*$C$12))</f>
        <v>30</v>
      </c>
      <c r="G42" s="128">
        <f t="shared" si="6"/>
        <v>49.475</v>
      </c>
      <c r="H42" s="137">
        <f t="shared" si="7"/>
        <v>31.688438735177865</v>
      </c>
      <c r="I42" s="137">
        <f t="shared" si="7"/>
        <v>56.425938735177866</v>
      </c>
      <c r="J42" s="137">
        <f t="shared" si="7"/>
        <v>81.16343873517786</v>
      </c>
      <c r="K42" s="137">
        <f t="shared" si="7"/>
        <v>105.90093873517786</v>
      </c>
      <c r="L42" s="137">
        <f t="shared" si="7"/>
        <v>130.63843873517789</v>
      </c>
      <c r="M42" s="137">
        <f t="shared" si="7"/>
        <v>155.37593873517787</v>
      </c>
      <c r="N42" s="138">
        <f t="shared" si="7"/>
        <v>180.11343873517788</v>
      </c>
      <c r="O42" s="156"/>
      <c r="P42"/>
      <c r="Q42"/>
      <c r="R42"/>
      <c r="S42"/>
    </row>
    <row r="43" spans="1:19" ht="14.25" thickBot="1">
      <c r="A43" s="16"/>
      <c r="B43" s="17"/>
      <c r="C43" s="18"/>
      <c r="D43" s="18"/>
      <c r="F43" s="44">
        <f>IF((F47-4*$C$12)&lt;0,0,(F47-4*$C$12))</f>
        <v>40</v>
      </c>
      <c r="G43" s="128">
        <f t="shared" si="6"/>
        <v>52.664</v>
      </c>
      <c r="H43" s="137">
        <f t="shared" si="7"/>
        <v>28.948584980237154</v>
      </c>
      <c r="I43" s="137">
        <f t="shared" si="7"/>
        <v>55.280584980237165</v>
      </c>
      <c r="J43" s="137">
        <f t="shared" si="7"/>
        <v>81.61258498023716</v>
      </c>
      <c r="K43" s="137">
        <f t="shared" si="7"/>
        <v>107.94458498023715</v>
      </c>
      <c r="L43" s="137">
        <f t="shared" si="7"/>
        <v>134.27658498023717</v>
      </c>
      <c r="M43" s="137">
        <f t="shared" si="7"/>
        <v>160.60858498023717</v>
      </c>
      <c r="N43" s="138">
        <f t="shared" si="7"/>
        <v>186.94058498023716</v>
      </c>
      <c r="O43" s="156"/>
      <c r="P43"/>
      <c r="Q43"/>
      <c r="R43"/>
      <c r="S43"/>
    </row>
    <row r="44" spans="1:19" ht="14.25" thickBot="1">
      <c r="A44" s="16"/>
      <c r="B44" s="47"/>
      <c r="C44" s="48"/>
      <c r="E44" s="49" t="s">
        <v>13</v>
      </c>
      <c r="F44" s="50">
        <f>'Data Entry'!G10</f>
        <v>50</v>
      </c>
      <c r="G44" s="128">
        <f t="shared" si="6"/>
        <v>55.213</v>
      </c>
      <c r="H44" s="137">
        <f>(H$10*$G44)-($C$11*($F44))</f>
        <v>25.568731225296442</v>
      </c>
      <c r="I44" s="137">
        <f t="shared" si="7"/>
        <v>53.17523122529644</v>
      </c>
      <c r="J44" s="137">
        <f t="shared" si="7"/>
        <v>80.78173122529644</v>
      </c>
      <c r="K44" s="137">
        <f t="shared" si="7"/>
        <v>108.38823122529644</v>
      </c>
      <c r="L44" s="137">
        <f t="shared" si="7"/>
        <v>135.99473122529645</v>
      </c>
      <c r="M44" s="137">
        <f t="shared" si="7"/>
        <v>163.60123122529643</v>
      </c>
      <c r="N44" s="138">
        <f t="shared" si="7"/>
        <v>191.20773122529644</v>
      </c>
      <c r="O44" s="156"/>
      <c r="P44"/>
      <c r="Q44"/>
      <c r="R44"/>
      <c r="S44"/>
    </row>
    <row r="45" spans="1:19" ht="13.5">
      <c r="A45" s="16"/>
      <c r="B45" s="17"/>
      <c r="C45" s="18"/>
      <c r="D45" s="18"/>
      <c r="F45" s="51">
        <f>F44+C37</f>
        <v>60</v>
      </c>
      <c r="G45" s="128">
        <f t="shared" si="6"/>
        <v>57.12200000000001</v>
      </c>
      <c r="H45" s="137">
        <f t="shared" si="7"/>
        <v>21.548877470355734</v>
      </c>
      <c r="I45" s="137">
        <f t="shared" si="7"/>
        <v>50.109877470355734</v>
      </c>
      <c r="J45" s="137">
        <f t="shared" si="7"/>
        <v>78.67087747035575</v>
      </c>
      <c r="K45" s="137">
        <f t="shared" si="7"/>
        <v>107.23187747035573</v>
      </c>
      <c r="L45" s="137">
        <f t="shared" si="7"/>
        <v>135.79287747035573</v>
      </c>
      <c r="M45" s="137">
        <f t="shared" si="7"/>
        <v>164.35387747035574</v>
      </c>
      <c r="N45" s="138">
        <f t="shared" si="7"/>
        <v>192.91487747035575</v>
      </c>
      <c r="O45" s="156"/>
      <c r="P45"/>
      <c r="Q45"/>
      <c r="R45"/>
      <c r="S45"/>
    </row>
    <row r="46" spans="1:19" ht="13.5">
      <c r="A46" s="16"/>
      <c r="B46" s="17"/>
      <c r="C46" s="52"/>
      <c r="D46" s="18"/>
      <c r="F46" s="51">
        <f>F44+2*C37</f>
        <v>70</v>
      </c>
      <c r="G46" s="128">
        <f t="shared" si="6"/>
        <v>58.391000000000005</v>
      </c>
      <c r="H46" s="137">
        <f>(H$10*$G46)-($C$11*($F46))</f>
        <v>16.88902371541502</v>
      </c>
      <c r="I46" s="137">
        <f t="shared" si="7"/>
        <v>46.08452371541502</v>
      </c>
      <c r="J46" s="137">
        <f t="shared" si="7"/>
        <v>75.28002371541503</v>
      </c>
      <c r="K46" s="137">
        <f t="shared" si="7"/>
        <v>104.47552371541504</v>
      </c>
      <c r="L46" s="137">
        <f t="shared" si="7"/>
        <v>133.671023715415</v>
      </c>
      <c r="M46" s="137">
        <f t="shared" si="7"/>
        <v>162.86652371541504</v>
      </c>
      <c r="N46" s="138">
        <f t="shared" si="7"/>
        <v>192.06202371541502</v>
      </c>
      <c r="O46" s="156"/>
      <c r="P46"/>
      <c r="Q46"/>
      <c r="R46"/>
      <c r="S46"/>
    </row>
    <row r="47" spans="1:19" ht="13.5">
      <c r="A47" s="16"/>
      <c r="B47" s="17"/>
      <c r="C47" s="18"/>
      <c r="D47" s="18"/>
      <c r="F47" s="51">
        <f>F44+3*C37</f>
        <v>80</v>
      </c>
      <c r="G47" s="128">
        <f t="shared" si="6"/>
        <v>59.02</v>
      </c>
      <c r="H47" s="137">
        <f t="shared" si="7"/>
        <v>11.589169960474308</v>
      </c>
      <c r="I47" s="137">
        <f t="shared" si="7"/>
        <v>41.099169960474306</v>
      </c>
      <c r="J47" s="137">
        <f t="shared" si="7"/>
        <v>70.6091699604743</v>
      </c>
      <c r="K47" s="137">
        <f t="shared" si="7"/>
        <v>100.11916996047432</v>
      </c>
      <c r="L47" s="137">
        <f t="shared" si="7"/>
        <v>129.62916996047431</v>
      </c>
      <c r="M47" s="137">
        <f t="shared" si="7"/>
        <v>159.13916996047433</v>
      </c>
      <c r="N47" s="138">
        <f t="shared" si="7"/>
        <v>188.64916996047432</v>
      </c>
      <c r="O47" s="156"/>
      <c r="P47"/>
      <c r="Q47"/>
      <c r="R47"/>
      <c r="S47"/>
    </row>
    <row r="48" spans="1:19" ht="13.5">
      <c r="A48" s="16"/>
      <c r="B48" s="17"/>
      <c r="C48" s="18"/>
      <c r="D48" s="18"/>
      <c r="F48" s="51">
        <f>F44+4*C37</f>
        <v>90</v>
      </c>
      <c r="G48" s="128">
        <f t="shared" si="6"/>
        <v>59.00900000000001</v>
      </c>
      <c r="H48" s="137">
        <f t="shared" si="7"/>
        <v>5.6493162055336015</v>
      </c>
      <c r="I48" s="137">
        <f t="shared" si="7"/>
        <v>35.1538162055336</v>
      </c>
      <c r="J48" s="137">
        <f t="shared" si="7"/>
        <v>64.65831620553361</v>
      </c>
      <c r="K48" s="137">
        <f t="shared" si="7"/>
        <v>94.1628162055336</v>
      </c>
      <c r="L48" s="137">
        <f t="shared" si="7"/>
        <v>123.66731620553361</v>
      </c>
      <c r="M48" s="137">
        <f t="shared" si="7"/>
        <v>153.17181620553362</v>
      </c>
      <c r="N48" s="138">
        <f t="shared" si="7"/>
        <v>182.67631620553362</v>
      </c>
      <c r="O48" s="156"/>
      <c r="P48"/>
      <c r="Q48"/>
      <c r="R48"/>
      <c r="S48"/>
    </row>
    <row r="49" spans="1:19" ht="13.5" customHeight="1">
      <c r="A49" s="16"/>
      <c r="B49" s="17"/>
      <c r="C49" s="18"/>
      <c r="D49" s="18"/>
      <c r="F49" s="185" t="s">
        <v>55</v>
      </c>
      <c r="G49" s="178"/>
      <c r="H49" s="178"/>
      <c r="I49" s="178"/>
      <c r="J49" s="178"/>
      <c r="K49" s="178"/>
      <c r="L49" s="178"/>
      <c r="M49" s="178"/>
      <c r="N49" s="179"/>
      <c r="O49" s="156"/>
      <c r="P49"/>
      <c r="Q49"/>
      <c r="R49"/>
      <c r="S49"/>
    </row>
    <row r="50" spans="1:19" ht="9.75" customHeight="1">
      <c r="A50" s="16"/>
      <c r="B50" s="17"/>
      <c r="C50" s="18"/>
      <c r="D50" s="18"/>
      <c r="F50" s="188" t="s">
        <v>16</v>
      </c>
      <c r="G50" s="180"/>
      <c r="H50" s="180"/>
      <c r="I50" s="180"/>
      <c r="J50" s="180"/>
      <c r="K50" s="180"/>
      <c r="L50" s="180"/>
      <c r="M50" s="180"/>
      <c r="N50" s="181"/>
      <c r="O50" s="156"/>
      <c r="P50"/>
      <c r="Q50"/>
      <c r="R50"/>
      <c r="S50"/>
    </row>
    <row r="51" spans="1:19" ht="9.75" customHeight="1">
      <c r="A51" s="16"/>
      <c r="B51" s="17"/>
      <c r="C51" s="18"/>
      <c r="D51" s="18"/>
      <c r="F51" s="188" t="s">
        <v>107</v>
      </c>
      <c r="G51" s="180"/>
      <c r="H51" s="180"/>
      <c r="I51" s="180"/>
      <c r="J51" s="180"/>
      <c r="K51" s="180"/>
      <c r="L51" s="180"/>
      <c r="M51" s="180"/>
      <c r="N51" s="181"/>
      <c r="O51" s="156"/>
      <c r="P51"/>
      <c r="Q51"/>
      <c r="R51"/>
      <c r="S51"/>
    </row>
    <row r="52" spans="1:19" ht="11.25" customHeight="1">
      <c r="A52" s="16"/>
      <c r="B52" s="17"/>
      <c r="C52" s="18"/>
      <c r="D52" s="18"/>
      <c r="F52" s="79" t="s">
        <v>111</v>
      </c>
      <c r="G52" s="80"/>
      <c r="H52" s="80"/>
      <c r="I52" s="80"/>
      <c r="J52" s="80"/>
      <c r="K52" s="132"/>
      <c r="L52" s="132"/>
      <c r="M52" s="132"/>
      <c r="N52" s="171"/>
      <c r="O52" s="156"/>
      <c r="P52"/>
      <c r="Q52"/>
      <c r="R52"/>
      <c r="S52"/>
    </row>
    <row r="53" spans="1:19" ht="12" customHeight="1" thickBot="1">
      <c r="A53" s="16"/>
      <c r="B53" s="17"/>
      <c r="C53" s="18"/>
      <c r="D53" s="18"/>
      <c r="F53" s="191" t="s">
        <v>38</v>
      </c>
      <c r="G53" s="182"/>
      <c r="H53" s="183"/>
      <c r="I53" s="183"/>
      <c r="J53" s="183"/>
      <c r="K53" s="175"/>
      <c r="L53" s="175"/>
      <c r="M53" s="175"/>
      <c r="N53" s="176"/>
      <c r="O53" s="156"/>
      <c r="P53"/>
      <c r="Q53"/>
      <c r="R53"/>
      <c r="S53"/>
    </row>
    <row r="54" spans="1:19" ht="11.25" customHeight="1">
      <c r="A54" s="16"/>
      <c r="B54" s="17"/>
      <c r="C54" s="18"/>
      <c r="D54" s="18"/>
      <c r="E54" s="53"/>
      <c r="F54" s="53"/>
      <c r="G54" s="53"/>
      <c r="H54" s="53"/>
      <c r="I54" s="53"/>
      <c r="J54" s="53"/>
      <c r="K54" s="12"/>
      <c r="L54" s="12"/>
      <c r="M54" s="12"/>
      <c r="N54" s="15"/>
      <c r="O54" s="156"/>
      <c r="P54"/>
      <c r="Q54"/>
      <c r="R54"/>
      <c r="S54"/>
    </row>
    <row r="55" spans="2:19" ht="11.25" customHeight="1" thickBot="1">
      <c r="B55" s="224"/>
      <c r="C55" s="225"/>
      <c r="D55" s="225"/>
      <c r="E55" s="225"/>
      <c r="F55" s="225"/>
      <c r="G55" s="225"/>
      <c r="H55" s="225"/>
      <c r="I55" s="225"/>
      <c r="J55" s="225"/>
      <c r="K55" s="55"/>
      <c r="L55" s="55"/>
      <c r="M55" s="55"/>
      <c r="N55" s="56"/>
      <c r="O55" s="156"/>
      <c r="P55"/>
      <c r="Q55"/>
      <c r="R55"/>
      <c r="S55"/>
    </row>
    <row r="56" spans="15:19" ht="12.75">
      <c r="O56" s="156"/>
      <c r="P56"/>
      <c r="Q56"/>
      <c r="R56"/>
      <c r="S56"/>
    </row>
  </sheetData>
  <sheetProtection/>
  <mergeCells count="22">
    <mergeCell ref="E28:N28"/>
    <mergeCell ref="O2:Q2"/>
    <mergeCell ref="O3:Q3"/>
    <mergeCell ref="I8:M8"/>
    <mergeCell ref="H12:N12"/>
    <mergeCell ref="B2:N2"/>
    <mergeCell ref="B3:N3"/>
    <mergeCell ref="B5:D5"/>
    <mergeCell ref="B30:J30"/>
    <mergeCell ref="E25:N25"/>
    <mergeCell ref="E26:N26"/>
    <mergeCell ref="H13:N13"/>
    <mergeCell ref="B7:C7"/>
    <mergeCell ref="G8:G10"/>
    <mergeCell ref="E24:N24"/>
    <mergeCell ref="E27:N27"/>
    <mergeCell ref="H38:N38"/>
    <mergeCell ref="B55:J55"/>
    <mergeCell ref="B32:C32"/>
    <mergeCell ref="G33:G35"/>
    <mergeCell ref="I33:M33"/>
    <mergeCell ref="H37:N37"/>
  </mergeCells>
  <conditionalFormatting sqref="H40:H48">
    <cfRule type="cellIs" priority="1" dxfId="2" operator="equal" stopIfTrue="1">
      <formula>MAX($H$39:$H$47)</formula>
    </cfRule>
    <cfRule type="cellIs" priority="2" dxfId="0" operator="between" stopIfTrue="1">
      <formula>MAX($H$39:$H$47)</formula>
      <formula>MAX($H$39:$H$49)-1</formula>
    </cfRule>
    <cfRule type="cellIs" priority="3" dxfId="0" operator="between" stopIfTrue="1">
      <formula>MAX($H$39:$H$47)</formula>
      <formula>MAX($H$39:$H$49)+1</formula>
    </cfRule>
  </conditionalFormatting>
  <conditionalFormatting sqref="I40:I48">
    <cfRule type="cellIs" priority="4" dxfId="2" operator="equal" stopIfTrue="1">
      <formula>MAX($I$39:$I$47)</formula>
    </cfRule>
    <cfRule type="cellIs" priority="5" dxfId="0" operator="between" stopIfTrue="1">
      <formula>MAX($I$39:$I$47)</formula>
      <formula>MAX($I$39:$I$47)-1</formula>
    </cfRule>
    <cfRule type="cellIs" priority="6" dxfId="0" operator="between" stopIfTrue="1">
      <formula>MAX($I$39:$I$47)</formula>
      <formula>MAX($I$39:$I$47)+1</formula>
    </cfRule>
  </conditionalFormatting>
  <conditionalFormatting sqref="J40:J48">
    <cfRule type="cellIs" priority="7" dxfId="2" operator="equal" stopIfTrue="1">
      <formula>MAX($J$39:$J$47)</formula>
    </cfRule>
    <cfRule type="cellIs" priority="8" dxfId="0" operator="between" stopIfTrue="1">
      <formula>MAX($J$39:$J$47)</formula>
      <formula>MAX($J$39:$J$47)-1</formula>
    </cfRule>
    <cfRule type="cellIs" priority="9" dxfId="0" operator="between" stopIfTrue="1">
      <formula>MAX($J$39:$J$47)</formula>
      <formula>MAX($J$39:$J$47)+1</formula>
    </cfRule>
  </conditionalFormatting>
  <conditionalFormatting sqref="K40:K48">
    <cfRule type="cellIs" priority="10" dxfId="2" operator="equal" stopIfTrue="1">
      <formula>MAX($K$39:$K$47)</formula>
    </cfRule>
    <cfRule type="cellIs" priority="11" dxfId="0" operator="between" stopIfTrue="1">
      <formula>MAX($K$39:$K$47)</formula>
      <formula>MAX($K$39:$K$47)-1</formula>
    </cfRule>
    <cfRule type="cellIs" priority="12" dxfId="0" operator="between" stopIfTrue="1">
      <formula>MAX($K$39:$K$47)</formula>
      <formula>MAX($K$39:$K$47)+1</formula>
    </cfRule>
  </conditionalFormatting>
  <conditionalFormatting sqref="L40:L48">
    <cfRule type="cellIs" priority="13" dxfId="2" operator="equal" stopIfTrue="1">
      <formula>MAX($L$39:$L$47)</formula>
    </cfRule>
    <cfRule type="cellIs" priority="14" dxfId="0" operator="between" stopIfTrue="1">
      <formula>MAX($L$39:$L$47)</formula>
      <formula>MAX($L$39:$L$47)-1</formula>
    </cfRule>
    <cfRule type="cellIs" priority="15" dxfId="0" operator="between" stopIfTrue="1">
      <formula>MAX($L$39:$L$47)</formula>
      <formula>MAX($L$39:$L$47)+1</formula>
    </cfRule>
  </conditionalFormatting>
  <conditionalFormatting sqref="M40:M48">
    <cfRule type="cellIs" priority="16" dxfId="2" operator="equal" stopIfTrue="1">
      <formula>MAX($M$39:$M$47)</formula>
    </cfRule>
    <cfRule type="cellIs" priority="17" dxfId="0" operator="between" stopIfTrue="1">
      <formula>MAX($M$39:$M$47)</formula>
      <formula>MAX($M$39:$M$47)-1</formula>
    </cfRule>
    <cfRule type="cellIs" priority="18" dxfId="0" operator="between" stopIfTrue="1">
      <formula>MAX($M$39:$M$47)</formula>
      <formula>MAX($M$39:$M$47)+1</formula>
    </cfRule>
  </conditionalFormatting>
  <conditionalFormatting sqref="N40:N48">
    <cfRule type="cellIs" priority="19" dxfId="2" operator="equal" stopIfTrue="1">
      <formula>MAX($N$39:$N$47)</formula>
    </cfRule>
    <cfRule type="cellIs" priority="20" dxfId="0" operator="between" stopIfTrue="1">
      <formula>MAX($N$39:$N$47)</formula>
      <formula>MAX($N$39:$N$47)-1</formula>
    </cfRule>
    <cfRule type="cellIs" priority="21" dxfId="0" operator="between" stopIfTrue="1">
      <formula>MAX($N$39:$N$47)</formula>
      <formula>MAX($N$39:$N$47)+1</formula>
    </cfRule>
  </conditionalFormatting>
  <conditionalFormatting sqref="N15:N23">
    <cfRule type="cellIs" priority="22" dxfId="2" operator="equal" stopIfTrue="1">
      <formula>MAX($N$15:$N$23)</formula>
    </cfRule>
    <cfRule type="cellIs" priority="23" dxfId="0" operator="between" stopIfTrue="1">
      <formula>MAX($N$15:$N$23)</formula>
      <formula>MAX($N$15:$N$23)-1</formula>
    </cfRule>
    <cfRule type="cellIs" priority="24" dxfId="0" operator="between" stopIfTrue="1">
      <formula>MAX($N$15:$N$23)</formula>
      <formula>MAX($N$15:$N$23)+1</formula>
    </cfRule>
  </conditionalFormatting>
  <conditionalFormatting sqref="H15:H23">
    <cfRule type="cellIs" priority="25" dxfId="2" operator="equal" stopIfTrue="1">
      <formula>MAX($H$15:$H$23)</formula>
    </cfRule>
    <cfRule type="cellIs" priority="26" dxfId="0" operator="between" stopIfTrue="1">
      <formula>MAX($H$15:$H$23)</formula>
      <formula>MAX($H$15:$H$23)-1</formula>
    </cfRule>
    <cfRule type="cellIs" priority="27" dxfId="0" operator="between" stopIfTrue="1">
      <formula>MAX($H$15:$H$23)</formula>
      <formula>MAX($H$15:$H$23)+1</formula>
    </cfRule>
  </conditionalFormatting>
  <conditionalFormatting sqref="I15:I23">
    <cfRule type="cellIs" priority="28" dxfId="2" operator="equal" stopIfTrue="1">
      <formula>MAX($I$15:$I$23)</formula>
    </cfRule>
    <cfRule type="cellIs" priority="29" dxfId="0" operator="between" stopIfTrue="1">
      <formula>MAX($I$15:$I$23)</formula>
      <formula>MAX($I$15:$I$23)-1</formula>
    </cfRule>
    <cfRule type="cellIs" priority="30" dxfId="0" operator="between" stopIfTrue="1">
      <formula>MAX($I$15:$I$23)</formula>
      <formula>MAX($I$15:$I$23)+1</formula>
    </cfRule>
  </conditionalFormatting>
  <conditionalFormatting sqref="J15:J23">
    <cfRule type="cellIs" priority="31" dxfId="2" operator="equal" stopIfTrue="1">
      <formula>MAX($J$15:$J$23)</formula>
    </cfRule>
    <cfRule type="cellIs" priority="32" dxfId="0" operator="between" stopIfTrue="1">
      <formula>MAX($J$15:$J$23)</formula>
      <formula>MAX($J$15:$J$23)-1</formula>
    </cfRule>
    <cfRule type="cellIs" priority="33" dxfId="0" operator="between" stopIfTrue="1">
      <formula>MAX($J$15:$J$23)</formula>
      <formula>MAX($J$15:$J$23)+1</formula>
    </cfRule>
  </conditionalFormatting>
  <conditionalFormatting sqref="K15:K23">
    <cfRule type="cellIs" priority="34" dxfId="2" operator="equal" stopIfTrue="1">
      <formula>MAX($K$15:$K$23)</formula>
    </cfRule>
    <cfRule type="cellIs" priority="35" dxfId="0" operator="between" stopIfTrue="1">
      <formula>MAX($K$15:$K$23)</formula>
      <formula>MAX($K$15:$K$23)-1</formula>
    </cfRule>
    <cfRule type="cellIs" priority="36" dxfId="0" operator="between" stopIfTrue="1">
      <formula>MAX($K$15:$K$23)</formula>
      <formula>MAX($K$15:$K$23)+1</formula>
    </cfRule>
  </conditionalFormatting>
  <conditionalFormatting sqref="L15:L23">
    <cfRule type="cellIs" priority="37" dxfId="2" operator="equal" stopIfTrue="1">
      <formula>MAX($L$15:$L$23)</formula>
    </cfRule>
    <cfRule type="cellIs" priority="38" dxfId="0" operator="between" stopIfTrue="1">
      <formula>MAX($L$15:$L$23)</formula>
      <formula>MAX($L$15:$L$23)-1</formula>
    </cfRule>
    <cfRule type="cellIs" priority="39" dxfId="0" operator="between" stopIfTrue="1">
      <formula>MAX($L$15:$L$23)</formula>
      <formula>MAX($L$15:$L$23)+1</formula>
    </cfRule>
  </conditionalFormatting>
  <conditionalFormatting sqref="M15:M23">
    <cfRule type="cellIs" priority="40" dxfId="2" operator="equal" stopIfTrue="1">
      <formula>MAX($M$15:$M$23)</formula>
    </cfRule>
    <cfRule type="cellIs" priority="41" dxfId="0" operator="between" stopIfTrue="1">
      <formula>MAX($M$15:$M$23)</formula>
      <formula>MAX($M$15:$M$23)-1</formula>
    </cfRule>
    <cfRule type="cellIs" priority="42" dxfId="0" operator="between" stopIfTrue="1">
      <formula>MAX($M$15:$M$23)</formula>
      <formula>MAX($M$15:$M$23)+1</formula>
    </cfRule>
  </conditionalFormatting>
  <hyperlinks>
    <hyperlink ref="O2:Q2" location="'Barley (Arid) MR'!A1" display="Go to Marginal Return Chart"/>
    <hyperlink ref="O3:Q3" location="'Barley (Arid) Fertilizer'!A1" display="Go to Fertilizer as variable"/>
    <hyperlink ref="O5" location="'Data Entry'!A1" display="Return to Data Entry"/>
    <hyperlink ref="G33" location="'Wheat crop price'!D47" display="Go to Total Net Return"/>
    <hyperlink ref="G33:G35" location="'Barley (Arid) Crop'!D1" display="Return to Net Return"/>
    <hyperlink ref="G8" location="'Wheat crop price'!D47" display="Go to Total Net Return"/>
    <hyperlink ref="G8:G10" location="'Barley (Arid) Crop'!D53" display="Go to Total Net Return Below"/>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S58"/>
  <sheetViews>
    <sheetView showGridLines="0" zoomScalePageLayoutView="0" workbookViewId="0" topLeftCell="A1">
      <selection activeCell="O3" sqref="O3:Q3"/>
    </sheetView>
  </sheetViews>
  <sheetFormatPr defaultColWidth="9.140625" defaultRowHeight="12.75"/>
  <cols>
    <col min="1" max="1" width="1.57421875" style="10" customWidth="1"/>
    <col min="2" max="2" width="16.57421875" style="10" customWidth="1"/>
    <col min="3" max="6" width="9.140625" style="10" customWidth="1"/>
    <col min="7" max="7" width="13.57421875" style="10" customWidth="1"/>
    <col min="8" max="14" width="9.140625" style="10" customWidth="1"/>
    <col min="15" max="15" width="27.7109375" style="157" customWidth="1"/>
    <col min="16" max="16" width="9.8515625" style="10" customWidth="1"/>
    <col min="17" max="16384" width="9.140625" style="10" customWidth="1"/>
  </cols>
  <sheetData>
    <row r="1" spans="2:10" ht="6" customHeight="1" thickBot="1">
      <c r="B1" s="11"/>
      <c r="C1" s="11"/>
      <c r="D1" s="11"/>
      <c r="E1" s="11"/>
      <c r="F1" s="11"/>
      <c r="G1" s="11"/>
      <c r="H1" s="11"/>
      <c r="I1" s="11"/>
      <c r="J1" s="11"/>
    </row>
    <row r="2" spans="1:17" ht="21">
      <c r="A2" s="11"/>
      <c r="B2" s="253" t="s">
        <v>40</v>
      </c>
      <c r="C2" s="254"/>
      <c r="D2" s="254"/>
      <c r="E2" s="254"/>
      <c r="F2" s="254"/>
      <c r="G2" s="254"/>
      <c r="H2" s="254"/>
      <c r="I2" s="254"/>
      <c r="J2" s="254"/>
      <c r="K2" s="254"/>
      <c r="L2" s="254"/>
      <c r="M2" s="254"/>
      <c r="N2" s="255"/>
      <c r="O2" s="274" t="s">
        <v>69</v>
      </c>
      <c r="P2" s="275"/>
      <c r="Q2" s="275"/>
    </row>
    <row r="3" spans="1:17" ht="21">
      <c r="A3" s="11"/>
      <c r="B3" s="256" t="s">
        <v>65</v>
      </c>
      <c r="C3" s="257"/>
      <c r="D3" s="257"/>
      <c r="E3" s="257"/>
      <c r="F3" s="257"/>
      <c r="G3" s="257"/>
      <c r="H3" s="257"/>
      <c r="I3" s="257"/>
      <c r="J3" s="257"/>
      <c r="K3" s="257"/>
      <c r="L3" s="257"/>
      <c r="M3" s="257"/>
      <c r="N3" s="258"/>
      <c r="O3" s="274" t="s">
        <v>76</v>
      </c>
      <c r="P3" s="275"/>
      <c r="Q3" s="275"/>
    </row>
    <row r="4" spans="1:17" ht="6.75" customHeight="1">
      <c r="A4" s="11"/>
      <c r="B4" s="13"/>
      <c r="C4" s="14"/>
      <c r="D4" s="14"/>
      <c r="E4" s="14"/>
      <c r="F4" s="14"/>
      <c r="G4" s="14"/>
      <c r="H4" s="14"/>
      <c r="I4" s="14"/>
      <c r="J4" s="14"/>
      <c r="K4" s="12"/>
      <c r="L4" s="12"/>
      <c r="M4" s="12"/>
      <c r="N4" s="15"/>
      <c r="O4" s="164"/>
      <c r="P4" s="162"/>
      <c r="Q4" s="162"/>
    </row>
    <row r="5" spans="2:17" ht="12.75">
      <c r="B5" s="259"/>
      <c r="C5" s="260"/>
      <c r="D5" s="260"/>
      <c r="E5" s="12"/>
      <c r="F5" s="12"/>
      <c r="G5" s="12"/>
      <c r="H5" s="12"/>
      <c r="I5" s="12"/>
      <c r="J5" s="12"/>
      <c r="K5" s="12"/>
      <c r="L5" s="12"/>
      <c r="M5" s="12"/>
      <c r="N5" s="15"/>
      <c r="O5" s="161" t="s">
        <v>100</v>
      </c>
      <c r="P5" s="162"/>
      <c r="Q5" s="162"/>
    </row>
    <row r="6" spans="1:17" ht="4.5" customHeight="1" thickBot="1">
      <c r="A6" s="16"/>
      <c r="B6" s="17"/>
      <c r="C6" s="18"/>
      <c r="D6" s="18"/>
      <c r="E6" s="18"/>
      <c r="F6" s="18"/>
      <c r="G6" s="18"/>
      <c r="H6" s="18"/>
      <c r="I6" s="18"/>
      <c r="J6" s="18"/>
      <c r="K6" s="12"/>
      <c r="L6" s="12"/>
      <c r="M6" s="12"/>
      <c r="N6" s="15"/>
      <c r="O6" s="164"/>
      <c r="P6" s="162"/>
      <c r="Q6" s="162"/>
    </row>
    <row r="7" spans="1:17" ht="15.75" customHeight="1" thickBot="1">
      <c r="A7" s="16"/>
      <c r="B7" s="238" t="s">
        <v>39</v>
      </c>
      <c r="C7" s="239"/>
      <c r="D7" s="18"/>
      <c r="E7" s="18"/>
      <c r="F7" s="18"/>
      <c r="G7" s="18"/>
      <c r="H7" s="18"/>
      <c r="I7" s="19"/>
      <c r="J7" s="18"/>
      <c r="K7" s="19"/>
      <c r="L7" s="12"/>
      <c r="M7" s="12"/>
      <c r="N7" s="15"/>
      <c r="O7" s="164"/>
      <c r="P7" s="162"/>
      <c r="Q7" s="162"/>
    </row>
    <row r="8" spans="1:15" ht="15" customHeight="1">
      <c r="A8" s="16"/>
      <c r="B8" s="87" t="s">
        <v>1</v>
      </c>
      <c r="C8" s="21" t="str">
        <f>'Data Entry'!C7</f>
        <v>UREA</v>
      </c>
      <c r="D8" s="18"/>
      <c r="E8" s="22"/>
      <c r="F8" s="23"/>
      <c r="G8" s="222" t="s">
        <v>106</v>
      </c>
      <c r="H8" s="23"/>
      <c r="I8" s="262" t="s">
        <v>26</v>
      </c>
      <c r="J8" s="263"/>
      <c r="K8" s="263"/>
      <c r="L8" s="263"/>
      <c r="M8" s="263"/>
      <c r="N8" s="24"/>
      <c r="O8" s="158"/>
    </row>
    <row r="9" spans="1:15" ht="13.5">
      <c r="A9" s="16"/>
      <c r="B9" s="20" t="s">
        <v>3</v>
      </c>
      <c r="C9" s="59">
        <f>'Data Entry'!C8</f>
        <v>600</v>
      </c>
      <c r="D9" s="18"/>
      <c r="E9" s="17"/>
      <c r="F9" s="18"/>
      <c r="G9" s="223"/>
      <c r="H9" s="18"/>
      <c r="I9" s="19"/>
      <c r="J9" s="18"/>
      <c r="K9" s="19"/>
      <c r="L9" s="12"/>
      <c r="M9" s="12"/>
      <c r="N9" s="15"/>
      <c r="O9" s="158"/>
    </row>
    <row r="10" spans="1:15" ht="13.5">
      <c r="A10" s="16"/>
      <c r="B10" s="20" t="s">
        <v>4</v>
      </c>
      <c r="C10" s="25">
        <f>'Data Entry'!C9</f>
        <v>46</v>
      </c>
      <c r="D10" s="18"/>
      <c r="E10" s="17"/>
      <c r="F10" s="18"/>
      <c r="G10" s="223"/>
      <c r="H10" s="26">
        <f>K10-C14*3</f>
        <v>7.5</v>
      </c>
      <c r="I10" s="26">
        <f>K10-C14*2</f>
        <v>8</v>
      </c>
      <c r="J10" s="26">
        <f>K10-C14</f>
        <v>8.5</v>
      </c>
      <c r="K10" s="27">
        <f>'Data Entry'!F16</f>
        <v>9</v>
      </c>
      <c r="L10" s="26">
        <f>K10+C14</f>
        <v>9.5</v>
      </c>
      <c r="M10" s="26">
        <f>K10+C14*2</f>
        <v>10</v>
      </c>
      <c r="N10" s="28">
        <f>K10+C14*3</f>
        <v>10.5</v>
      </c>
      <c r="O10" s="158"/>
    </row>
    <row r="11" spans="1:19" ht="13.5">
      <c r="A11" s="16"/>
      <c r="B11" s="20" t="s">
        <v>5</v>
      </c>
      <c r="C11" s="61">
        <f>(C9/((C10/100)*2200))</f>
        <v>0.5928853754940712</v>
      </c>
      <c r="D11" s="18"/>
      <c r="E11" s="17"/>
      <c r="F11" s="18"/>
      <c r="G11" s="29" t="s">
        <v>6</v>
      </c>
      <c r="H11" s="18"/>
      <c r="I11" s="18"/>
      <c r="J11" s="18"/>
      <c r="K11" s="12"/>
      <c r="L11" s="12"/>
      <c r="M11" s="12"/>
      <c r="N11" s="15"/>
      <c r="O11" s="156"/>
      <c r="P11"/>
      <c r="Q11"/>
      <c r="R11"/>
      <c r="S11"/>
    </row>
    <row r="12" spans="1:19" ht="13.5">
      <c r="A12" s="16"/>
      <c r="B12" s="30" t="s">
        <v>20</v>
      </c>
      <c r="C12" s="31">
        <f>'Data Entry'!C11</f>
        <v>10</v>
      </c>
      <c r="D12" s="18"/>
      <c r="E12" s="32"/>
      <c r="F12" s="29" t="s">
        <v>67</v>
      </c>
      <c r="G12" s="29" t="s">
        <v>7</v>
      </c>
      <c r="H12" s="264" t="s">
        <v>8</v>
      </c>
      <c r="I12" s="264"/>
      <c r="J12" s="264"/>
      <c r="K12" s="264"/>
      <c r="L12" s="264"/>
      <c r="M12" s="264"/>
      <c r="N12" s="265"/>
      <c r="O12" s="156"/>
      <c r="P12"/>
      <c r="Q12"/>
      <c r="R12"/>
      <c r="S12"/>
    </row>
    <row r="13" spans="1:19" ht="14.25" thickBot="1">
      <c r="A13" s="16"/>
      <c r="B13" s="33" t="s">
        <v>113</v>
      </c>
      <c r="C13" s="34"/>
      <c r="D13" s="18"/>
      <c r="E13" s="35" t="s">
        <v>9</v>
      </c>
      <c r="F13" s="36" t="s">
        <v>68</v>
      </c>
      <c r="G13" s="36" t="s">
        <v>10</v>
      </c>
      <c r="H13" s="228" t="s">
        <v>15</v>
      </c>
      <c r="I13" s="228"/>
      <c r="J13" s="228"/>
      <c r="K13" s="228"/>
      <c r="L13" s="228"/>
      <c r="M13" s="228"/>
      <c r="N13" s="229"/>
      <c r="O13" s="170"/>
      <c r="P13"/>
      <c r="Q13"/>
      <c r="R13"/>
      <c r="S13"/>
    </row>
    <row r="14" spans="1:19" ht="13.5">
      <c r="A14" s="16"/>
      <c r="B14" s="37" t="s">
        <v>115</v>
      </c>
      <c r="C14" s="38">
        <f>'Data Entry'!C13</f>
        <v>0.5</v>
      </c>
      <c r="D14" s="18"/>
      <c r="E14" s="39" t="s">
        <v>11</v>
      </c>
      <c r="F14" s="40" t="s">
        <v>12</v>
      </c>
      <c r="G14" s="40" t="s">
        <v>12</v>
      </c>
      <c r="H14" s="41">
        <f>H10/$C$11</f>
        <v>12.65</v>
      </c>
      <c r="I14" s="41">
        <f aca="true" t="shared" si="0" ref="I14:N14">I10/$C$11</f>
        <v>13.493333333333332</v>
      </c>
      <c r="J14" s="41">
        <f t="shared" si="0"/>
        <v>14.336666666666666</v>
      </c>
      <c r="K14" s="41">
        <f>K10/$C$11</f>
        <v>15.18</v>
      </c>
      <c r="L14" s="41">
        <f t="shared" si="0"/>
        <v>16.023333333333333</v>
      </c>
      <c r="M14" s="41">
        <f t="shared" si="0"/>
        <v>16.866666666666667</v>
      </c>
      <c r="N14" s="42">
        <f t="shared" si="0"/>
        <v>17.71</v>
      </c>
      <c r="O14" s="156"/>
      <c r="P14"/>
      <c r="Q14"/>
      <c r="R14"/>
      <c r="S14"/>
    </row>
    <row r="15" spans="1:19" ht="13.5">
      <c r="A15" s="16"/>
      <c r="B15" s="43" t="s">
        <v>28</v>
      </c>
      <c r="C15" s="34"/>
      <c r="D15" s="18"/>
      <c r="E15" s="44">
        <f>IF((E19-4*$C$12)&lt;0,0,(E19-4*$C$12))</f>
        <v>30</v>
      </c>
      <c r="F15" s="128">
        <f>G15+(-0.0009*($C$16)^2+0.2797*($C$16))+18.343</f>
        <v>31.884999999999998</v>
      </c>
      <c r="G15" s="128">
        <f>IF(((-0.0009*(E15+$C$16)^2+0.2797*(E15+$C$16))-(-0.0009*($C$16)^2+0.2797*($C$16)))&lt;0,0,(-0.0009*(E15+$C$16)^2+0.2797*(E15+$C$16))-(-0.0009*($C$16)^2+0.2797*($C$16)))</f>
        <v>5.960999999999999</v>
      </c>
      <c r="H15" s="137">
        <f aca="true" t="shared" si="1" ref="H15:N15">(H$10*$G15)-($C$11*($E15))</f>
        <v>26.92093873517786</v>
      </c>
      <c r="I15" s="137">
        <f t="shared" si="1"/>
        <v>29.90143873517786</v>
      </c>
      <c r="J15" s="137">
        <f t="shared" si="1"/>
        <v>32.881938735177854</v>
      </c>
      <c r="K15" s="137">
        <f t="shared" si="1"/>
        <v>35.86243873517786</v>
      </c>
      <c r="L15" s="137">
        <f t="shared" si="1"/>
        <v>38.84293873517785</v>
      </c>
      <c r="M15" s="137">
        <f t="shared" si="1"/>
        <v>41.82343873517786</v>
      </c>
      <c r="N15" s="138">
        <f t="shared" si="1"/>
        <v>44.80393873517785</v>
      </c>
      <c r="O15" s="156"/>
      <c r="P15"/>
      <c r="Q15"/>
      <c r="R15"/>
      <c r="S15"/>
    </row>
    <row r="16" spans="1:19" ht="13.5">
      <c r="A16" s="16"/>
      <c r="B16" s="37" t="s">
        <v>29</v>
      </c>
      <c r="C16" s="45">
        <f>'Data Entry'!C15</f>
        <v>30</v>
      </c>
      <c r="D16" s="18"/>
      <c r="E16" s="44">
        <f>IF((E20-4*$C$12)&lt;0,0,(E20-4*$C$12))</f>
        <v>40</v>
      </c>
      <c r="F16" s="128">
        <f aca="true" t="shared" si="2" ref="F16:F23">G16+(-0.0009*($C$16)^2+0.2797*($C$16))+18.343</f>
        <v>33.512</v>
      </c>
      <c r="G16" s="128">
        <f aca="true" t="shared" si="3" ref="G16:G23">IF(((-0.0009*(E16+$C$16)^2+0.2797*(E16+$C$16))-(-0.0009*($C$16)^2+0.2797*($C$16)))&lt;0,0,(-0.0009*(E16+$C$16)^2+0.2797*(E16+$C$16))-(-0.0009*($C$16)^2+0.2797*($C$16)))</f>
        <v>7.588</v>
      </c>
      <c r="H16" s="137">
        <f aca="true" t="shared" si="4" ref="H16:N23">(H$10*$G16)-($C$11*($E16))</f>
        <v>33.19458498023715</v>
      </c>
      <c r="I16" s="137">
        <f t="shared" si="4"/>
        <v>36.98858498023715</v>
      </c>
      <c r="J16" s="137">
        <f t="shared" si="4"/>
        <v>40.78258498023716</v>
      </c>
      <c r="K16" s="137">
        <f t="shared" si="4"/>
        <v>44.57658498023716</v>
      </c>
      <c r="L16" s="137">
        <f t="shared" si="4"/>
        <v>48.370584980237155</v>
      </c>
      <c r="M16" s="137">
        <f t="shared" si="4"/>
        <v>52.16458498023715</v>
      </c>
      <c r="N16" s="138">
        <f t="shared" si="4"/>
        <v>55.95858498023716</v>
      </c>
      <c r="O16" s="156"/>
      <c r="P16"/>
      <c r="Q16"/>
      <c r="R16"/>
      <c r="S16"/>
    </row>
    <row r="17" spans="1:19" ht="13.5">
      <c r="A17" s="16"/>
      <c r="B17" s="43" t="s">
        <v>30</v>
      </c>
      <c r="C17" s="46"/>
      <c r="D17" s="18"/>
      <c r="E17" s="44">
        <f>IF((E21-4*$C$12)&lt;0,0,(E21-4*$C$12))</f>
        <v>50</v>
      </c>
      <c r="F17" s="128">
        <f t="shared" si="2"/>
        <v>34.959</v>
      </c>
      <c r="G17" s="128">
        <f t="shared" si="3"/>
        <v>9.035</v>
      </c>
      <c r="H17" s="137">
        <f t="shared" si="4"/>
        <v>38.11823122529644</v>
      </c>
      <c r="I17" s="137">
        <f t="shared" si="4"/>
        <v>42.63573122529644</v>
      </c>
      <c r="J17" s="137">
        <f t="shared" si="4"/>
        <v>47.15323122529644</v>
      </c>
      <c r="K17" s="137">
        <f t="shared" si="4"/>
        <v>51.670731225296436</v>
      </c>
      <c r="L17" s="137">
        <f t="shared" si="4"/>
        <v>56.188231225296434</v>
      </c>
      <c r="M17" s="137">
        <f t="shared" si="4"/>
        <v>60.70573122529643</v>
      </c>
      <c r="N17" s="138">
        <f t="shared" si="4"/>
        <v>65.22323122529644</v>
      </c>
      <c r="O17" s="156"/>
      <c r="P17"/>
      <c r="Q17"/>
      <c r="R17"/>
      <c r="S17"/>
    </row>
    <row r="18" spans="1:19" ht="14.25" thickBot="1">
      <c r="A18" s="16"/>
      <c r="B18" s="17"/>
      <c r="C18" s="18"/>
      <c r="D18" s="18"/>
      <c r="E18" s="44">
        <f>IF((E22-4*$C$12)&lt;0,0,(E22-4*$C$12))</f>
        <v>60</v>
      </c>
      <c r="F18" s="128">
        <f t="shared" si="2"/>
        <v>36.226</v>
      </c>
      <c r="G18" s="128">
        <f t="shared" si="3"/>
        <v>10.302000000000003</v>
      </c>
      <c r="H18" s="137">
        <f t="shared" si="4"/>
        <v>41.691877470355756</v>
      </c>
      <c r="I18" s="137">
        <f t="shared" si="4"/>
        <v>46.84287747035575</v>
      </c>
      <c r="J18" s="137">
        <f t="shared" si="4"/>
        <v>51.99387747035575</v>
      </c>
      <c r="K18" s="137">
        <f t="shared" si="4"/>
        <v>57.14487747035576</v>
      </c>
      <c r="L18" s="137">
        <f t="shared" si="4"/>
        <v>62.295877470355755</v>
      </c>
      <c r="M18" s="137">
        <f t="shared" si="4"/>
        <v>67.44687747035576</v>
      </c>
      <c r="N18" s="138">
        <f t="shared" si="4"/>
        <v>72.59787747035577</v>
      </c>
      <c r="O18" s="156"/>
      <c r="P18"/>
      <c r="Q18"/>
      <c r="R18"/>
      <c r="S18"/>
    </row>
    <row r="19" spans="1:19" ht="14.25" thickBot="1">
      <c r="A19" s="16"/>
      <c r="B19" s="54"/>
      <c r="C19" s="48"/>
      <c r="D19" s="49" t="s">
        <v>13</v>
      </c>
      <c r="E19" s="50">
        <f>'Data Entry'!F11</f>
        <v>70</v>
      </c>
      <c r="F19" s="128">
        <f t="shared" si="2"/>
        <v>37.313</v>
      </c>
      <c r="G19" s="128">
        <f t="shared" si="3"/>
        <v>11.389</v>
      </c>
      <c r="H19" s="137">
        <f t="shared" si="4"/>
        <v>43.915523715415006</v>
      </c>
      <c r="I19" s="137">
        <f t="shared" si="4"/>
        <v>49.61002371541501</v>
      </c>
      <c r="J19" s="137">
        <f t="shared" si="4"/>
        <v>55.304523715415016</v>
      </c>
      <c r="K19" s="137">
        <f t="shared" si="4"/>
        <v>60.99902371541501</v>
      </c>
      <c r="L19" s="137">
        <f t="shared" si="4"/>
        <v>66.69352371541501</v>
      </c>
      <c r="M19" s="137">
        <f t="shared" si="4"/>
        <v>72.388023715415</v>
      </c>
      <c r="N19" s="138">
        <f t="shared" si="4"/>
        <v>78.08252371541501</v>
      </c>
      <c r="O19" s="156"/>
      <c r="P19"/>
      <c r="Q19"/>
      <c r="R19"/>
      <c r="S19"/>
    </row>
    <row r="20" spans="1:19" ht="13.5">
      <c r="A20" s="16"/>
      <c r="B20" s="17"/>
      <c r="C20" s="18"/>
      <c r="D20" s="18"/>
      <c r="E20" s="51">
        <f>E19+C12</f>
        <v>80</v>
      </c>
      <c r="F20" s="128">
        <f t="shared" si="2"/>
        <v>38.22</v>
      </c>
      <c r="G20" s="128">
        <f t="shared" si="3"/>
        <v>12.296</v>
      </c>
      <c r="H20" s="137">
        <f t="shared" si="4"/>
        <v>44.789169960474304</v>
      </c>
      <c r="I20" s="137">
        <f t="shared" si="4"/>
        <v>50.9371699604743</v>
      </c>
      <c r="J20" s="137">
        <f t="shared" si="4"/>
        <v>57.085169960474296</v>
      </c>
      <c r="K20" s="137">
        <f t="shared" si="4"/>
        <v>63.23316996047429</v>
      </c>
      <c r="L20" s="137">
        <f t="shared" si="4"/>
        <v>69.3811699604743</v>
      </c>
      <c r="M20" s="137">
        <f t="shared" si="4"/>
        <v>75.52916996047429</v>
      </c>
      <c r="N20" s="138">
        <f t="shared" si="4"/>
        <v>81.67716996047432</v>
      </c>
      <c r="O20" s="156"/>
      <c r="P20"/>
      <c r="Q20"/>
      <c r="R20"/>
      <c r="S20"/>
    </row>
    <row r="21" spans="1:19" ht="13.5">
      <c r="A21" s="16"/>
      <c r="B21" s="17"/>
      <c r="C21" s="18"/>
      <c r="D21" s="18"/>
      <c r="E21" s="51">
        <f>E19+2*C12</f>
        <v>90</v>
      </c>
      <c r="F21" s="128">
        <f t="shared" si="2"/>
        <v>38.947</v>
      </c>
      <c r="G21" s="128">
        <f t="shared" si="3"/>
        <v>13.023</v>
      </c>
      <c r="H21" s="137">
        <f t="shared" si="4"/>
        <v>44.31281620553359</v>
      </c>
      <c r="I21" s="137">
        <f t="shared" si="4"/>
        <v>50.82431620553359</v>
      </c>
      <c r="J21" s="137">
        <f t="shared" si="4"/>
        <v>57.33581620553359</v>
      </c>
      <c r="K21" s="137">
        <f t="shared" si="4"/>
        <v>63.84731620553359</v>
      </c>
      <c r="L21" s="137">
        <f t="shared" si="4"/>
        <v>70.35881620553359</v>
      </c>
      <c r="M21" s="137">
        <f t="shared" si="4"/>
        <v>76.87031620553358</v>
      </c>
      <c r="N21" s="138">
        <f t="shared" si="4"/>
        <v>83.3818162055336</v>
      </c>
      <c r="O21" s="156"/>
      <c r="P21"/>
      <c r="Q21"/>
      <c r="R21"/>
      <c r="S21"/>
    </row>
    <row r="22" spans="1:19" ht="13.5">
      <c r="A22" s="16"/>
      <c r="B22" s="17"/>
      <c r="C22" s="18"/>
      <c r="D22" s="18"/>
      <c r="E22" s="51">
        <f>E19+3*C12</f>
        <v>100</v>
      </c>
      <c r="F22" s="128">
        <f t="shared" si="2"/>
        <v>39.494</v>
      </c>
      <c r="G22" s="128">
        <f t="shared" si="3"/>
        <v>13.569999999999997</v>
      </c>
      <c r="H22" s="137">
        <f t="shared" si="4"/>
        <v>42.48646245059286</v>
      </c>
      <c r="I22" s="137">
        <f t="shared" si="4"/>
        <v>49.27146245059286</v>
      </c>
      <c r="J22" s="137">
        <f t="shared" si="4"/>
        <v>56.05646245059285</v>
      </c>
      <c r="K22" s="137">
        <f t="shared" si="4"/>
        <v>62.84146245059285</v>
      </c>
      <c r="L22" s="137">
        <f t="shared" si="4"/>
        <v>69.62646245059284</v>
      </c>
      <c r="M22" s="137">
        <f t="shared" si="4"/>
        <v>76.41146245059284</v>
      </c>
      <c r="N22" s="138">
        <f t="shared" si="4"/>
        <v>83.19646245059283</v>
      </c>
      <c r="O22" s="156"/>
      <c r="P22"/>
      <c r="Q22"/>
      <c r="R22"/>
      <c r="S22"/>
    </row>
    <row r="23" spans="1:19" ht="13.5">
      <c r="A23" s="16"/>
      <c r="B23" s="17"/>
      <c r="C23" s="18"/>
      <c r="D23" s="18"/>
      <c r="E23" s="51">
        <f>E19+4*C12</f>
        <v>110</v>
      </c>
      <c r="F23" s="128">
        <f t="shared" si="2"/>
        <v>39.861000000000004</v>
      </c>
      <c r="G23" s="128">
        <f t="shared" si="3"/>
        <v>13.937000000000001</v>
      </c>
      <c r="H23" s="137">
        <f t="shared" si="4"/>
        <v>39.310108695652175</v>
      </c>
      <c r="I23" s="137">
        <f t="shared" si="4"/>
        <v>46.27860869565218</v>
      </c>
      <c r="J23" s="137">
        <f t="shared" si="4"/>
        <v>53.24710869565219</v>
      </c>
      <c r="K23" s="137">
        <f t="shared" si="4"/>
        <v>60.21560869565218</v>
      </c>
      <c r="L23" s="137">
        <f t="shared" si="4"/>
        <v>67.18410869565217</v>
      </c>
      <c r="M23" s="137">
        <f t="shared" si="4"/>
        <v>74.15260869565218</v>
      </c>
      <c r="N23" s="138">
        <f t="shared" si="4"/>
        <v>81.12110869565218</v>
      </c>
      <c r="O23" s="156"/>
      <c r="P23"/>
      <c r="Q23"/>
      <c r="R23"/>
      <c r="S23"/>
    </row>
    <row r="24" spans="1:19" ht="13.5" customHeight="1">
      <c r="A24" s="16"/>
      <c r="B24" s="17"/>
      <c r="C24" s="18"/>
      <c r="D24" s="18"/>
      <c r="E24" s="276" t="s">
        <v>66</v>
      </c>
      <c r="F24" s="277"/>
      <c r="G24" s="277"/>
      <c r="H24" s="277"/>
      <c r="I24" s="277"/>
      <c r="J24" s="277"/>
      <c r="K24" s="277"/>
      <c r="L24" s="277"/>
      <c r="M24" s="277"/>
      <c r="N24" s="278"/>
      <c r="O24" s="156"/>
      <c r="P24"/>
      <c r="Q24"/>
      <c r="R24"/>
      <c r="S24"/>
    </row>
    <row r="25" spans="1:19" ht="9.75" customHeight="1">
      <c r="A25" s="16"/>
      <c r="B25" s="17"/>
      <c r="C25" s="18"/>
      <c r="D25" s="18"/>
      <c r="E25" s="266" t="s">
        <v>16</v>
      </c>
      <c r="F25" s="267"/>
      <c r="G25" s="267"/>
      <c r="H25" s="267"/>
      <c r="I25" s="267"/>
      <c r="J25" s="267"/>
      <c r="K25" s="267"/>
      <c r="L25" s="267"/>
      <c r="M25" s="267"/>
      <c r="N25" s="268"/>
      <c r="O25" s="156"/>
      <c r="P25"/>
      <c r="Q25"/>
      <c r="R25"/>
      <c r="S25"/>
    </row>
    <row r="26" spans="1:19" ht="9.75" customHeight="1">
      <c r="A26" s="16"/>
      <c r="B26" s="17"/>
      <c r="C26" s="18"/>
      <c r="D26" s="18"/>
      <c r="E26" s="266" t="s">
        <v>27</v>
      </c>
      <c r="F26" s="267"/>
      <c r="G26" s="267"/>
      <c r="H26" s="267"/>
      <c r="I26" s="267"/>
      <c r="J26" s="267"/>
      <c r="K26" s="267"/>
      <c r="L26" s="267"/>
      <c r="M26" s="267"/>
      <c r="N26" s="268"/>
      <c r="O26" s="156"/>
      <c r="P26"/>
      <c r="Q26"/>
      <c r="R26"/>
      <c r="S26"/>
    </row>
    <row r="27" spans="1:19" ht="11.25" customHeight="1">
      <c r="A27" s="16"/>
      <c r="B27" s="17"/>
      <c r="C27" s="18"/>
      <c r="D27" s="18"/>
      <c r="E27" s="245" t="s">
        <v>92</v>
      </c>
      <c r="F27" s="246"/>
      <c r="G27" s="246"/>
      <c r="H27" s="246"/>
      <c r="I27" s="246"/>
      <c r="J27" s="246"/>
      <c r="K27" s="247"/>
      <c r="L27" s="247"/>
      <c r="M27" s="247"/>
      <c r="N27" s="248"/>
      <c r="O27" s="156"/>
      <c r="P27"/>
      <c r="Q27"/>
      <c r="R27"/>
      <c r="S27"/>
    </row>
    <row r="28" spans="1:19" ht="12" customHeight="1" thickBot="1">
      <c r="A28" s="16"/>
      <c r="B28" s="17"/>
      <c r="C28" s="18"/>
      <c r="D28" s="18"/>
      <c r="E28" s="269" t="s">
        <v>38</v>
      </c>
      <c r="F28" s="270"/>
      <c r="G28" s="271"/>
      <c r="H28" s="271"/>
      <c r="I28" s="271"/>
      <c r="J28" s="271"/>
      <c r="K28" s="272"/>
      <c r="L28" s="272"/>
      <c r="M28" s="272"/>
      <c r="N28" s="273"/>
      <c r="O28" s="156"/>
      <c r="P28"/>
      <c r="Q28"/>
      <c r="R28"/>
      <c r="S28"/>
    </row>
    <row r="29" spans="2:19" ht="11.25" customHeight="1">
      <c r="B29" s="17"/>
      <c r="E29" s="267"/>
      <c r="F29" s="267"/>
      <c r="G29" s="267"/>
      <c r="H29" s="267"/>
      <c r="I29" s="267"/>
      <c r="J29" s="267"/>
      <c r="K29" s="267"/>
      <c r="L29" s="267"/>
      <c r="M29" s="267"/>
      <c r="N29" s="268"/>
      <c r="O29" s="156"/>
      <c r="P29"/>
      <c r="Q29"/>
      <c r="R29"/>
      <c r="S29"/>
    </row>
    <row r="30" spans="2:19" ht="9.75" customHeight="1" thickBot="1">
      <c r="B30" s="224"/>
      <c r="C30" s="225"/>
      <c r="D30" s="225"/>
      <c r="E30" s="225"/>
      <c r="F30" s="225"/>
      <c r="G30" s="225"/>
      <c r="H30" s="225"/>
      <c r="I30" s="225"/>
      <c r="J30" s="225"/>
      <c r="K30" s="55"/>
      <c r="L30" s="55"/>
      <c r="M30" s="55"/>
      <c r="N30" s="56"/>
      <c r="O30" s="156"/>
      <c r="P30"/>
      <c r="Q30"/>
      <c r="R30"/>
      <c r="S30"/>
    </row>
    <row r="31" spans="2:19" ht="4.5" customHeight="1" thickBot="1">
      <c r="B31" s="194"/>
      <c r="N31" s="24"/>
      <c r="O31" s="156"/>
      <c r="P31"/>
      <c r="Q31"/>
      <c r="R31"/>
      <c r="S31"/>
    </row>
    <row r="32" spans="1:15" ht="15.75" customHeight="1" thickBot="1">
      <c r="A32" s="16"/>
      <c r="B32" s="238" t="s">
        <v>39</v>
      </c>
      <c r="C32" s="239"/>
      <c r="E32" s="18"/>
      <c r="F32" s="18"/>
      <c r="G32" s="18"/>
      <c r="H32" s="18"/>
      <c r="I32" s="19"/>
      <c r="J32" s="18"/>
      <c r="K32" s="19"/>
      <c r="L32" s="12"/>
      <c r="M32" s="12"/>
      <c r="N32" s="15"/>
      <c r="O32" s="158"/>
    </row>
    <row r="33" spans="1:15" ht="15" customHeight="1">
      <c r="A33" s="16"/>
      <c r="B33" s="87" t="s">
        <v>1</v>
      </c>
      <c r="C33" s="21" t="str">
        <f>'Data Entry'!C7</f>
        <v>UREA</v>
      </c>
      <c r="D33" s="18"/>
      <c r="F33" s="22"/>
      <c r="G33" s="222" t="s">
        <v>108</v>
      </c>
      <c r="H33" s="23"/>
      <c r="I33" s="262" t="s">
        <v>26</v>
      </c>
      <c r="J33" s="263"/>
      <c r="K33" s="263"/>
      <c r="L33" s="263"/>
      <c r="M33" s="263"/>
      <c r="N33" s="24"/>
      <c r="O33" s="158"/>
    </row>
    <row r="34" spans="1:15" ht="13.5">
      <c r="A34" s="16"/>
      <c r="B34" s="20" t="s">
        <v>3</v>
      </c>
      <c r="C34" s="184">
        <f>'Data Entry'!C8</f>
        <v>600</v>
      </c>
      <c r="D34" s="18"/>
      <c r="F34" s="17"/>
      <c r="G34" s="223"/>
      <c r="H34" s="18"/>
      <c r="I34" s="19"/>
      <c r="J34" s="18"/>
      <c r="K34" s="19"/>
      <c r="L34" s="12"/>
      <c r="M34" s="12"/>
      <c r="N34" s="15"/>
      <c r="O34" s="158"/>
    </row>
    <row r="35" spans="1:15" ht="13.5">
      <c r="A35" s="16"/>
      <c r="B35" s="20" t="s">
        <v>4</v>
      </c>
      <c r="C35" s="25">
        <f>'Data Entry'!C9</f>
        <v>46</v>
      </c>
      <c r="D35" s="18"/>
      <c r="F35" s="17"/>
      <c r="G35" s="223"/>
      <c r="H35" s="26">
        <f>K35-C39*3</f>
        <v>7.5</v>
      </c>
      <c r="I35" s="26">
        <f>K35-C39*2</f>
        <v>8</v>
      </c>
      <c r="J35" s="26">
        <f>K35-C39</f>
        <v>8.5</v>
      </c>
      <c r="K35" s="27">
        <f>'Data Entry'!F16</f>
        <v>9</v>
      </c>
      <c r="L35" s="26">
        <f>K35+C39</f>
        <v>9.5</v>
      </c>
      <c r="M35" s="26">
        <f>K35+C39*2</f>
        <v>10</v>
      </c>
      <c r="N35" s="28">
        <f>K35+C39*3</f>
        <v>10.5</v>
      </c>
      <c r="O35" s="158"/>
    </row>
    <row r="36" spans="1:15" ht="13.5">
      <c r="A36" s="16"/>
      <c r="B36" s="20" t="s">
        <v>5</v>
      </c>
      <c r="C36" s="61">
        <f>(C34/((C35/100)*2200))</f>
        <v>0.5928853754940712</v>
      </c>
      <c r="D36" s="18"/>
      <c r="F36" s="17"/>
      <c r="G36" s="29" t="s">
        <v>6</v>
      </c>
      <c r="H36" s="18"/>
      <c r="I36" s="18"/>
      <c r="J36" s="18"/>
      <c r="K36" s="12"/>
      <c r="L36" s="12"/>
      <c r="M36" s="12"/>
      <c r="N36" s="15"/>
      <c r="O36" s="158"/>
    </row>
    <row r="37" spans="1:19" ht="13.5">
      <c r="A37" s="16"/>
      <c r="B37" s="30" t="s">
        <v>20</v>
      </c>
      <c r="C37" s="31">
        <f>'Data Entry'!C11</f>
        <v>10</v>
      </c>
      <c r="D37" s="18"/>
      <c r="F37" s="32"/>
      <c r="G37" s="70" t="s">
        <v>67</v>
      </c>
      <c r="H37" s="264" t="s">
        <v>8</v>
      </c>
      <c r="I37" s="264"/>
      <c r="J37" s="264"/>
      <c r="K37" s="264"/>
      <c r="L37" s="264"/>
      <c r="M37" s="264"/>
      <c r="N37" s="265"/>
      <c r="O37" s="156"/>
      <c r="P37"/>
      <c r="Q37"/>
      <c r="R37"/>
      <c r="S37"/>
    </row>
    <row r="38" spans="1:19" ht="14.25" thickBot="1">
      <c r="A38" s="16"/>
      <c r="B38" s="33" t="s">
        <v>113</v>
      </c>
      <c r="C38" s="34"/>
      <c r="D38" s="18"/>
      <c r="F38" s="35" t="s">
        <v>9</v>
      </c>
      <c r="G38" s="73" t="s">
        <v>68</v>
      </c>
      <c r="H38" s="228" t="s">
        <v>15</v>
      </c>
      <c r="I38" s="228"/>
      <c r="J38" s="228"/>
      <c r="K38" s="228"/>
      <c r="L38" s="228"/>
      <c r="M38" s="228"/>
      <c r="N38" s="229"/>
      <c r="O38" s="156"/>
      <c r="P38"/>
      <c r="Q38"/>
      <c r="R38"/>
      <c r="S38"/>
    </row>
    <row r="39" spans="1:19" ht="13.5">
      <c r="A39" s="16"/>
      <c r="B39" s="37" t="s">
        <v>115</v>
      </c>
      <c r="C39" s="57">
        <f>'Data Entry'!C13</f>
        <v>0.5</v>
      </c>
      <c r="D39" s="18"/>
      <c r="F39" s="39" t="s">
        <v>11</v>
      </c>
      <c r="G39" s="75" t="s">
        <v>12</v>
      </c>
      <c r="H39" s="41">
        <f aca="true" t="shared" si="5" ref="H39:N39">H35/$C$11</f>
        <v>12.65</v>
      </c>
      <c r="I39" s="41">
        <f t="shared" si="5"/>
        <v>13.493333333333332</v>
      </c>
      <c r="J39" s="41">
        <f t="shared" si="5"/>
        <v>14.336666666666666</v>
      </c>
      <c r="K39" s="41">
        <f t="shared" si="5"/>
        <v>15.18</v>
      </c>
      <c r="L39" s="41">
        <f t="shared" si="5"/>
        <v>16.023333333333333</v>
      </c>
      <c r="M39" s="41">
        <f t="shared" si="5"/>
        <v>16.866666666666667</v>
      </c>
      <c r="N39" s="42">
        <f t="shared" si="5"/>
        <v>17.71</v>
      </c>
      <c r="O39" s="156"/>
      <c r="P39"/>
      <c r="Q39"/>
      <c r="R39"/>
      <c r="S39"/>
    </row>
    <row r="40" spans="1:19" ht="13.5">
      <c r="A40" s="16"/>
      <c r="B40" s="43" t="s">
        <v>28</v>
      </c>
      <c r="C40" s="34"/>
      <c r="D40" s="18"/>
      <c r="F40" s="44">
        <f>IF((F44-4*$C$12)&lt;0,0,(F44-4*$C$12))</f>
        <v>10</v>
      </c>
      <c r="G40" s="128">
        <f>G15+(-0.0009*($C$16)^2+0.2797*($C$16))+18.343</f>
        <v>31.884999999999998</v>
      </c>
      <c r="H40" s="137">
        <f aca="true" t="shared" si="6" ref="H40:N40">(H$10*$G40)-($C$11*($F40))</f>
        <v>233.20864624505927</v>
      </c>
      <c r="I40" s="137">
        <f t="shared" si="6"/>
        <v>249.15114624505927</v>
      </c>
      <c r="J40" s="137">
        <f t="shared" si="6"/>
        <v>265.0936462450593</v>
      </c>
      <c r="K40" s="137">
        <f t="shared" si="6"/>
        <v>281.0361462450593</v>
      </c>
      <c r="L40" s="137">
        <f t="shared" si="6"/>
        <v>296.9786462450593</v>
      </c>
      <c r="M40" s="137">
        <f t="shared" si="6"/>
        <v>312.9211462450593</v>
      </c>
      <c r="N40" s="138">
        <f t="shared" si="6"/>
        <v>328.8636462450593</v>
      </c>
      <c r="O40" s="156"/>
      <c r="P40"/>
      <c r="Q40"/>
      <c r="R40"/>
      <c r="S40"/>
    </row>
    <row r="41" spans="1:19" ht="13.5">
      <c r="A41" s="16"/>
      <c r="B41" s="37" t="s">
        <v>29</v>
      </c>
      <c r="C41" s="45">
        <f>'Data Entry'!C15</f>
        <v>30</v>
      </c>
      <c r="D41" s="18"/>
      <c r="F41" s="44">
        <f>IF((F45-4*$C$12)&lt;0,0,(F45-4*$C$12))</f>
        <v>20</v>
      </c>
      <c r="G41" s="128">
        <f aca="true" t="shared" si="7" ref="G41:G48">G16+(-0.0009*($C$16)^2+0.2797*($C$16))+18.343</f>
        <v>33.512</v>
      </c>
      <c r="H41" s="137">
        <f aca="true" t="shared" si="8" ref="H41:N48">(H$10*$G41)-($C$11*($F41))</f>
        <v>239.48229249011857</v>
      </c>
      <c r="I41" s="137">
        <f t="shared" si="8"/>
        <v>256.23829249011857</v>
      </c>
      <c r="J41" s="137">
        <f t="shared" si="8"/>
        <v>272.99429249011854</v>
      </c>
      <c r="K41" s="137">
        <f t="shared" si="8"/>
        <v>289.75029249011857</v>
      </c>
      <c r="L41" s="137">
        <f t="shared" si="8"/>
        <v>306.5062924901186</v>
      </c>
      <c r="M41" s="137">
        <f t="shared" si="8"/>
        <v>323.26229249011857</v>
      </c>
      <c r="N41" s="138">
        <f t="shared" si="8"/>
        <v>340.01829249011854</v>
      </c>
      <c r="O41" s="156"/>
      <c r="P41"/>
      <c r="Q41"/>
      <c r="R41"/>
      <c r="S41"/>
    </row>
    <row r="42" spans="1:19" ht="13.5">
      <c r="A42" s="16"/>
      <c r="B42" s="43" t="s">
        <v>30</v>
      </c>
      <c r="C42" s="46"/>
      <c r="D42" s="18"/>
      <c r="F42" s="44">
        <f>IF((F46-4*$C$12)&lt;0,0,(F46-4*$C$12))</f>
        <v>30</v>
      </c>
      <c r="G42" s="128">
        <f t="shared" si="7"/>
        <v>34.959</v>
      </c>
      <c r="H42" s="137">
        <f t="shared" si="8"/>
        <v>244.40593873517787</v>
      </c>
      <c r="I42" s="137">
        <f t="shared" si="8"/>
        <v>261.8854387351779</v>
      </c>
      <c r="J42" s="137">
        <f t="shared" si="8"/>
        <v>279.36493873517793</v>
      </c>
      <c r="K42" s="137">
        <f t="shared" si="8"/>
        <v>296.8444387351779</v>
      </c>
      <c r="L42" s="137">
        <f t="shared" si="8"/>
        <v>314.3239387351779</v>
      </c>
      <c r="M42" s="137">
        <f t="shared" si="8"/>
        <v>331.8034387351779</v>
      </c>
      <c r="N42" s="138">
        <f t="shared" si="8"/>
        <v>349.28293873517794</v>
      </c>
      <c r="O42" s="156"/>
      <c r="P42"/>
      <c r="Q42"/>
      <c r="R42"/>
      <c r="S42"/>
    </row>
    <row r="43" spans="1:19" ht="14.25" thickBot="1">
      <c r="A43" s="16"/>
      <c r="B43" s="17"/>
      <c r="C43" s="18"/>
      <c r="D43" s="18"/>
      <c r="F43" s="44">
        <f>IF((F47-4*$C$12)&lt;0,0,(F47-4*$C$12))</f>
        <v>40</v>
      </c>
      <c r="G43" s="128">
        <f t="shared" si="7"/>
        <v>36.226</v>
      </c>
      <c r="H43" s="137">
        <f t="shared" si="8"/>
        <v>247.97958498023715</v>
      </c>
      <c r="I43" s="137">
        <f t="shared" si="8"/>
        <v>266.0925849802371</v>
      </c>
      <c r="J43" s="137">
        <f t="shared" si="8"/>
        <v>284.2055849802371</v>
      </c>
      <c r="K43" s="137">
        <f t="shared" si="8"/>
        <v>302.3185849802371</v>
      </c>
      <c r="L43" s="137">
        <f t="shared" si="8"/>
        <v>320.4315849802371</v>
      </c>
      <c r="M43" s="137">
        <f t="shared" si="8"/>
        <v>338.5445849802371</v>
      </c>
      <c r="N43" s="138">
        <f t="shared" si="8"/>
        <v>356.6575849802371</v>
      </c>
      <c r="O43" s="156"/>
      <c r="P43"/>
      <c r="Q43"/>
      <c r="R43"/>
      <c r="S43"/>
    </row>
    <row r="44" spans="1:19" ht="14.25" thickBot="1">
      <c r="A44" s="16"/>
      <c r="B44" s="47"/>
      <c r="C44" s="48"/>
      <c r="E44" s="49" t="s">
        <v>13</v>
      </c>
      <c r="F44" s="50">
        <f>'Data Entry'!G10</f>
        <v>50</v>
      </c>
      <c r="G44" s="128">
        <f t="shared" si="7"/>
        <v>37.313</v>
      </c>
      <c r="H44" s="137">
        <f>(H$10*$G44)-($C$11*($F44))</f>
        <v>250.20323122529646</v>
      </c>
      <c r="I44" s="137">
        <f t="shared" si="8"/>
        <v>268.85973122529646</v>
      </c>
      <c r="J44" s="137">
        <f t="shared" si="8"/>
        <v>287.51623122529645</v>
      </c>
      <c r="K44" s="137">
        <f t="shared" si="8"/>
        <v>306.17273122529645</v>
      </c>
      <c r="L44" s="137">
        <f t="shared" si="8"/>
        <v>324.82923122529644</v>
      </c>
      <c r="M44" s="137">
        <f t="shared" si="8"/>
        <v>343.48573122529643</v>
      </c>
      <c r="N44" s="138">
        <f t="shared" si="8"/>
        <v>362.1422312252965</v>
      </c>
      <c r="O44" s="156"/>
      <c r="P44"/>
      <c r="Q44"/>
      <c r="R44"/>
      <c r="S44"/>
    </row>
    <row r="45" spans="1:19" ht="13.5">
      <c r="A45" s="16"/>
      <c r="B45" s="17"/>
      <c r="C45" s="18"/>
      <c r="D45" s="18"/>
      <c r="F45" s="51">
        <f>F44+C37</f>
        <v>60</v>
      </c>
      <c r="G45" s="128">
        <f t="shared" si="7"/>
        <v>38.22</v>
      </c>
      <c r="H45" s="137">
        <f t="shared" si="8"/>
        <v>251.0768774703557</v>
      </c>
      <c r="I45" s="137">
        <f t="shared" si="8"/>
        <v>270.18687747035574</v>
      </c>
      <c r="J45" s="137">
        <f t="shared" si="8"/>
        <v>289.29687747035575</v>
      </c>
      <c r="K45" s="137">
        <f t="shared" si="8"/>
        <v>308.40687747035577</v>
      </c>
      <c r="L45" s="137">
        <f t="shared" si="8"/>
        <v>327.5168774703557</v>
      </c>
      <c r="M45" s="137">
        <f t="shared" si="8"/>
        <v>346.62687747035574</v>
      </c>
      <c r="N45" s="138">
        <f t="shared" si="8"/>
        <v>365.73687747035575</v>
      </c>
      <c r="O45" s="156"/>
      <c r="P45"/>
      <c r="Q45"/>
      <c r="R45"/>
      <c r="S45"/>
    </row>
    <row r="46" spans="1:19" ht="13.5">
      <c r="A46" s="16"/>
      <c r="B46" s="17"/>
      <c r="C46" s="52"/>
      <c r="D46" s="18"/>
      <c r="F46" s="51">
        <f>F44+2*C37</f>
        <v>70</v>
      </c>
      <c r="G46" s="128">
        <f t="shared" si="7"/>
        <v>38.947</v>
      </c>
      <c r="H46" s="137">
        <f>(H$10*$G46)-($C$11*($F46))</f>
        <v>250.60052371541502</v>
      </c>
      <c r="I46" s="137">
        <f t="shared" si="8"/>
        <v>270.074023715415</v>
      </c>
      <c r="J46" s="137">
        <f t="shared" si="8"/>
        <v>289.547523715415</v>
      </c>
      <c r="K46" s="137">
        <f t="shared" si="8"/>
        <v>309.021023715415</v>
      </c>
      <c r="L46" s="137">
        <f t="shared" si="8"/>
        <v>328.494523715415</v>
      </c>
      <c r="M46" s="137">
        <f t="shared" si="8"/>
        <v>347.96802371541503</v>
      </c>
      <c r="N46" s="138">
        <f t="shared" si="8"/>
        <v>367.44152371541503</v>
      </c>
      <c r="O46" s="156"/>
      <c r="P46"/>
      <c r="Q46"/>
      <c r="R46"/>
      <c r="S46"/>
    </row>
    <row r="47" spans="1:19" ht="13.5">
      <c r="A47" s="16"/>
      <c r="B47" s="17"/>
      <c r="C47" s="18"/>
      <c r="D47" s="18"/>
      <c r="F47" s="51">
        <f>F44+3*C37</f>
        <v>80</v>
      </c>
      <c r="G47" s="128">
        <f t="shared" si="7"/>
        <v>39.494</v>
      </c>
      <c r="H47" s="137">
        <f t="shared" si="8"/>
        <v>248.7741699604743</v>
      </c>
      <c r="I47" s="137">
        <f t="shared" si="8"/>
        <v>268.5211699604743</v>
      </c>
      <c r="J47" s="137">
        <f t="shared" si="8"/>
        <v>288.2681699604743</v>
      </c>
      <c r="K47" s="137">
        <f t="shared" si="8"/>
        <v>308.01516996047434</v>
      </c>
      <c r="L47" s="137">
        <f t="shared" si="8"/>
        <v>327.7621699604743</v>
      </c>
      <c r="M47" s="137">
        <f t="shared" si="8"/>
        <v>347.5091699604743</v>
      </c>
      <c r="N47" s="138">
        <f t="shared" si="8"/>
        <v>367.2561699604743</v>
      </c>
      <c r="O47" s="156"/>
      <c r="P47"/>
      <c r="Q47"/>
      <c r="R47"/>
      <c r="S47"/>
    </row>
    <row r="48" spans="1:19" ht="13.5">
      <c r="A48" s="16"/>
      <c r="B48" s="17"/>
      <c r="C48" s="18"/>
      <c r="D48" s="18"/>
      <c r="F48" s="51">
        <f>F44+4*C37</f>
        <v>90</v>
      </c>
      <c r="G48" s="128">
        <f t="shared" si="7"/>
        <v>39.861000000000004</v>
      </c>
      <c r="H48" s="137">
        <f t="shared" si="8"/>
        <v>245.59781620553363</v>
      </c>
      <c r="I48" s="137">
        <f t="shared" si="8"/>
        <v>265.52831620553366</v>
      </c>
      <c r="J48" s="137">
        <f t="shared" si="8"/>
        <v>285.4588162055336</v>
      </c>
      <c r="K48" s="137">
        <f t="shared" si="8"/>
        <v>305.38931620553365</v>
      </c>
      <c r="L48" s="137">
        <f t="shared" si="8"/>
        <v>325.3198162055336</v>
      </c>
      <c r="M48" s="137">
        <f t="shared" si="8"/>
        <v>345.25031620553364</v>
      </c>
      <c r="N48" s="138">
        <f t="shared" si="8"/>
        <v>365.1808162055337</v>
      </c>
      <c r="O48" s="156"/>
      <c r="P48"/>
      <c r="Q48"/>
      <c r="R48"/>
      <c r="S48"/>
    </row>
    <row r="49" spans="1:19" ht="13.5" customHeight="1">
      <c r="A49" s="16"/>
      <c r="B49" s="17"/>
      <c r="C49" s="18"/>
      <c r="D49" s="18"/>
      <c r="F49" s="185" t="s">
        <v>110</v>
      </c>
      <c r="G49" s="178"/>
      <c r="H49" s="178"/>
      <c r="I49" s="178"/>
      <c r="J49" s="178"/>
      <c r="K49" s="178"/>
      <c r="L49" s="178"/>
      <c r="M49" s="178"/>
      <c r="N49" s="179"/>
      <c r="O49" s="156"/>
      <c r="P49"/>
      <c r="Q49"/>
      <c r="R49"/>
      <c r="S49"/>
    </row>
    <row r="50" spans="1:19" ht="9.75" customHeight="1">
      <c r="A50" s="16"/>
      <c r="B50" s="17"/>
      <c r="C50" s="18"/>
      <c r="D50" s="18"/>
      <c r="F50" s="188" t="s">
        <v>16</v>
      </c>
      <c r="G50" s="180"/>
      <c r="H50" s="180"/>
      <c r="I50" s="180"/>
      <c r="J50" s="180"/>
      <c r="K50" s="180"/>
      <c r="L50" s="180"/>
      <c r="M50" s="180"/>
      <c r="N50" s="181"/>
      <c r="O50" s="156"/>
      <c r="P50"/>
      <c r="Q50"/>
      <c r="R50"/>
      <c r="S50"/>
    </row>
    <row r="51" spans="1:19" ht="9.75" customHeight="1">
      <c r="A51" s="16"/>
      <c r="B51" s="17"/>
      <c r="C51" s="18"/>
      <c r="D51" s="18"/>
      <c r="F51" s="188" t="s">
        <v>109</v>
      </c>
      <c r="G51" s="180"/>
      <c r="H51" s="180"/>
      <c r="I51" s="180"/>
      <c r="J51" s="180"/>
      <c r="K51" s="180"/>
      <c r="L51" s="180"/>
      <c r="M51" s="180"/>
      <c r="N51" s="181"/>
      <c r="O51" s="156"/>
      <c r="P51"/>
      <c r="Q51"/>
      <c r="R51"/>
      <c r="S51"/>
    </row>
    <row r="52" spans="1:19" ht="11.25" customHeight="1">
      <c r="A52" s="16"/>
      <c r="B52" s="17"/>
      <c r="C52" s="18"/>
      <c r="D52" s="18"/>
      <c r="F52" s="79" t="s">
        <v>92</v>
      </c>
      <c r="G52" s="80"/>
      <c r="H52" s="80"/>
      <c r="I52" s="80"/>
      <c r="J52" s="80"/>
      <c r="K52" s="132"/>
      <c r="L52" s="132"/>
      <c r="M52" s="132"/>
      <c r="N52" s="171"/>
      <c r="O52" s="156"/>
      <c r="P52"/>
      <c r="Q52"/>
      <c r="R52"/>
      <c r="S52"/>
    </row>
    <row r="53" spans="1:19" ht="12" customHeight="1" thickBot="1">
      <c r="A53" s="16"/>
      <c r="B53" s="17"/>
      <c r="C53" s="18"/>
      <c r="D53" s="18"/>
      <c r="F53" s="191" t="s">
        <v>38</v>
      </c>
      <c r="G53" s="182"/>
      <c r="H53" s="183"/>
      <c r="I53" s="183"/>
      <c r="J53" s="183"/>
      <c r="K53" s="175"/>
      <c r="L53" s="175"/>
      <c r="M53" s="175"/>
      <c r="N53" s="176"/>
      <c r="O53" s="156"/>
      <c r="P53"/>
      <c r="Q53"/>
      <c r="R53"/>
      <c r="S53"/>
    </row>
    <row r="54" spans="1:19" ht="11.25" customHeight="1">
      <c r="A54" s="16"/>
      <c r="B54" s="17"/>
      <c r="C54" s="18"/>
      <c r="D54" s="18"/>
      <c r="E54" s="53"/>
      <c r="F54" s="53"/>
      <c r="G54" s="53"/>
      <c r="H54" s="53"/>
      <c r="I54" s="53"/>
      <c r="J54" s="53"/>
      <c r="K54" s="12"/>
      <c r="L54" s="12"/>
      <c r="M54" s="12"/>
      <c r="N54" s="15"/>
      <c r="O54" s="156"/>
      <c r="P54"/>
      <c r="Q54"/>
      <c r="R54"/>
      <c r="S54"/>
    </row>
    <row r="55" spans="2:19" ht="11.25" customHeight="1" thickBot="1">
      <c r="B55" s="224"/>
      <c r="C55" s="225"/>
      <c r="D55" s="225"/>
      <c r="E55" s="225"/>
      <c r="F55" s="225"/>
      <c r="G55" s="225"/>
      <c r="H55" s="225"/>
      <c r="I55" s="225"/>
      <c r="J55" s="225"/>
      <c r="K55" s="55"/>
      <c r="L55" s="55"/>
      <c r="M55" s="55"/>
      <c r="N55" s="56"/>
      <c r="O55" s="156"/>
      <c r="P55"/>
      <c r="Q55"/>
      <c r="R55"/>
      <c r="S55"/>
    </row>
    <row r="56" spans="15:19" ht="12.75">
      <c r="O56" s="156"/>
      <c r="P56"/>
      <c r="Q56"/>
      <c r="R56"/>
      <c r="S56"/>
    </row>
    <row r="57" spans="15:19" ht="12.75">
      <c r="O57" s="156"/>
      <c r="P57"/>
      <c r="Q57"/>
      <c r="R57"/>
      <c r="S57"/>
    </row>
    <row r="58" spans="15:19" ht="12.75">
      <c r="O58" s="156"/>
      <c r="P58"/>
      <c r="Q58"/>
      <c r="R58"/>
      <c r="S58"/>
    </row>
  </sheetData>
  <sheetProtection/>
  <mergeCells count="23">
    <mergeCell ref="O2:Q2"/>
    <mergeCell ref="O3:Q3"/>
    <mergeCell ref="E27:N27"/>
    <mergeCell ref="E28:N28"/>
    <mergeCell ref="I8:M8"/>
    <mergeCell ref="H12:N12"/>
    <mergeCell ref="H13:N13"/>
    <mergeCell ref="B2:N2"/>
    <mergeCell ref="B3:N3"/>
    <mergeCell ref="B5:D5"/>
    <mergeCell ref="B7:C7"/>
    <mergeCell ref="E29:N29"/>
    <mergeCell ref="B30:J30"/>
    <mergeCell ref="E24:N24"/>
    <mergeCell ref="E25:N25"/>
    <mergeCell ref="E26:N26"/>
    <mergeCell ref="H38:N38"/>
    <mergeCell ref="B55:J55"/>
    <mergeCell ref="G8:G10"/>
    <mergeCell ref="B32:C32"/>
    <mergeCell ref="G33:G35"/>
    <mergeCell ref="I33:M33"/>
    <mergeCell ref="H37:N37"/>
  </mergeCells>
  <conditionalFormatting sqref="N15:N23">
    <cfRule type="cellIs" priority="1" dxfId="2" operator="equal" stopIfTrue="1">
      <formula>MAX($N$15:$N$23)</formula>
    </cfRule>
    <cfRule type="cellIs" priority="2" dxfId="0" operator="between" stopIfTrue="1">
      <formula>MAX($N$15:$N$23)</formula>
      <formula>MAX($N$15:$N$23)-1</formula>
    </cfRule>
    <cfRule type="cellIs" priority="3" dxfId="0" operator="between" stopIfTrue="1">
      <formula>MAX($N$15:$N$23)</formula>
      <formula>MAX($N$15:$N$23)+1</formula>
    </cfRule>
  </conditionalFormatting>
  <conditionalFormatting sqref="H15:H23">
    <cfRule type="cellIs" priority="4" dxfId="2" operator="equal" stopIfTrue="1">
      <formula>MAX($H$15:$H$23)</formula>
    </cfRule>
    <cfRule type="cellIs" priority="5" dxfId="0" operator="between" stopIfTrue="1">
      <formula>MAX($H$15:$H$23)</formula>
      <formula>MAX($H$15:$H$23)-1</formula>
    </cfRule>
    <cfRule type="cellIs" priority="6" dxfId="0" operator="between" stopIfTrue="1">
      <formula>MAX($H$15:$H$23)</formula>
      <formula>MAX($H$15:$H$23)+1</formula>
    </cfRule>
  </conditionalFormatting>
  <conditionalFormatting sqref="I15:I23">
    <cfRule type="cellIs" priority="7" dxfId="2" operator="equal" stopIfTrue="1">
      <formula>MAX($I$15:$I$23)</formula>
    </cfRule>
    <cfRule type="cellIs" priority="8" dxfId="0" operator="between" stopIfTrue="1">
      <formula>MAX($I$15:$I$23)</formula>
      <formula>MAX($I$15:$I$23)-1</formula>
    </cfRule>
    <cfRule type="cellIs" priority="9" dxfId="0" operator="between" stopIfTrue="1">
      <formula>MAX($I$15:$I$23)</formula>
      <formula>MAX($I$15:$I$23)+1</formula>
    </cfRule>
  </conditionalFormatting>
  <conditionalFormatting sqref="J15:J23">
    <cfRule type="cellIs" priority="10" dxfId="2" operator="equal" stopIfTrue="1">
      <formula>MAX($J$15:$J$23)</formula>
    </cfRule>
    <cfRule type="cellIs" priority="11" dxfId="0" operator="between" stopIfTrue="1">
      <formula>MAX($J$15:$J$23)</formula>
      <formula>MAX($J$15:$J$23)-1</formula>
    </cfRule>
    <cfRule type="cellIs" priority="12" dxfId="0" operator="between" stopIfTrue="1">
      <formula>MAX($J$15:$J$23)</formula>
      <formula>MAX($J$15:$J$23)+1</formula>
    </cfRule>
  </conditionalFormatting>
  <conditionalFormatting sqref="K15:K23">
    <cfRule type="cellIs" priority="13" dxfId="2" operator="equal" stopIfTrue="1">
      <formula>MAX($K$15:$K$23)</formula>
    </cfRule>
    <cfRule type="cellIs" priority="14" dxfId="0" operator="between" stopIfTrue="1">
      <formula>MAX($K$15:$K$23)</formula>
      <formula>MAX($K$15:$K$23)-1</formula>
    </cfRule>
    <cfRule type="cellIs" priority="15" dxfId="0" operator="between" stopIfTrue="1">
      <formula>MAX($K$15:$K$23)</formula>
      <formula>MAX($K$15:$K$23)+1</formula>
    </cfRule>
  </conditionalFormatting>
  <conditionalFormatting sqref="L15:L23">
    <cfRule type="cellIs" priority="16" dxfId="2" operator="equal" stopIfTrue="1">
      <formula>MAX($L$15:$L$23)</formula>
    </cfRule>
    <cfRule type="cellIs" priority="17" dxfId="0" operator="between" stopIfTrue="1">
      <formula>MAX($L$15:$L$23)</formula>
      <formula>MAX($L$15:$L$23)-1</formula>
    </cfRule>
    <cfRule type="cellIs" priority="18" dxfId="0" operator="between" stopIfTrue="1">
      <formula>MAX($L$15:$L$23)</formula>
      <formula>MAX($L$15:$L$23)+1</formula>
    </cfRule>
  </conditionalFormatting>
  <conditionalFormatting sqref="M15:M23">
    <cfRule type="cellIs" priority="19" dxfId="2" operator="equal" stopIfTrue="1">
      <formula>MAX($M$15:$M$23)</formula>
    </cfRule>
    <cfRule type="cellIs" priority="20" dxfId="0" operator="between" stopIfTrue="1">
      <formula>MAX($M$15:$M$23)</formula>
      <formula>MAX($M$15:$M$23)-1</formula>
    </cfRule>
    <cfRule type="cellIs" priority="21" dxfId="0" operator="between" stopIfTrue="1">
      <formula>MAX($M$15:$M$23)</formula>
      <formula>MAX($M$15:$M$23)+1</formula>
    </cfRule>
  </conditionalFormatting>
  <conditionalFormatting sqref="H40:H48">
    <cfRule type="cellIs" priority="22" dxfId="2" operator="equal" stopIfTrue="1">
      <formula>MAX($H$39:$H$47)</formula>
    </cfRule>
    <cfRule type="cellIs" priority="23" dxfId="0" operator="between" stopIfTrue="1">
      <formula>MAX($H$39:$H$47)</formula>
      <formula>MAX($H$39:$H$49)-1</formula>
    </cfRule>
    <cfRule type="cellIs" priority="24" dxfId="0" operator="between" stopIfTrue="1">
      <formula>MAX($H$39:$H$47)</formula>
      <formula>MAX($H$39:$H$49)+1</formula>
    </cfRule>
  </conditionalFormatting>
  <conditionalFormatting sqref="I40:I48">
    <cfRule type="cellIs" priority="25" dxfId="2" operator="equal" stopIfTrue="1">
      <formula>MAX($I$39:$I$47)</formula>
    </cfRule>
    <cfRule type="cellIs" priority="26" dxfId="0" operator="between" stopIfTrue="1">
      <formula>MAX($I$39:$I$47)</formula>
      <formula>MAX($I$39:$I$47)-1</formula>
    </cfRule>
    <cfRule type="cellIs" priority="27" dxfId="0" operator="between" stopIfTrue="1">
      <formula>MAX($I$39:$I$47)</formula>
      <formula>MAX($I$39:$I$47)+1</formula>
    </cfRule>
  </conditionalFormatting>
  <conditionalFormatting sqref="J40:J48">
    <cfRule type="cellIs" priority="28" dxfId="2" operator="equal" stopIfTrue="1">
      <formula>MAX($J$39:$J$47)</formula>
    </cfRule>
    <cfRule type="cellIs" priority="29" dxfId="0" operator="between" stopIfTrue="1">
      <formula>MAX($J$39:$J$47)</formula>
      <formula>MAX($J$39:$J$47)-1</formula>
    </cfRule>
    <cfRule type="cellIs" priority="30" dxfId="0" operator="between" stopIfTrue="1">
      <formula>MAX($J$39:$J$47)</formula>
      <formula>MAX($J$39:$J$47)+1</formula>
    </cfRule>
  </conditionalFormatting>
  <conditionalFormatting sqref="K40:K48">
    <cfRule type="cellIs" priority="31" dxfId="2" operator="equal" stopIfTrue="1">
      <formula>MAX($K$39:$K$47)</formula>
    </cfRule>
    <cfRule type="cellIs" priority="32" dxfId="0" operator="between" stopIfTrue="1">
      <formula>MAX($K$39:$K$47)</formula>
      <formula>MAX($K$39:$K$47)-1</formula>
    </cfRule>
    <cfRule type="cellIs" priority="33" dxfId="0" operator="between" stopIfTrue="1">
      <formula>MAX($K$39:$K$47)</formula>
      <formula>MAX($K$39:$K$47)+1</formula>
    </cfRule>
  </conditionalFormatting>
  <conditionalFormatting sqref="L40:L48">
    <cfRule type="cellIs" priority="34" dxfId="2" operator="equal" stopIfTrue="1">
      <formula>MAX($L$39:$L$47)</formula>
    </cfRule>
    <cfRule type="cellIs" priority="35" dxfId="0" operator="between" stopIfTrue="1">
      <formula>MAX($L$39:$L$47)</formula>
      <formula>MAX($L$39:$L$47)-1</formula>
    </cfRule>
    <cfRule type="cellIs" priority="36" dxfId="0" operator="between" stopIfTrue="1">
      <formula>MAX($L$39:$L$47)</formula>
      <formula>MAX($L$39:$L$47)+1</formula>
    </cfRule>
  </conditionalFormatting>
  <conditionalFormatting sqref="M40:M48">
    <cfRule type="cellIs" priority="37" dxfId="2" operator="equal" stopIfTrue="1">
      <formula>MAX($M$39:$M$47)</formula>
    </cfRule>
    <cfRule type="cellIs" priority="38" dxfId="0" operator="between" stopIfTrue="1">
      <formula>MAX($M$39:$M$47)</formula>
      <formula>MAX($M$39:$M$47)-1</formula>
    </cfRule>
    <cfRule type="cellIs" priority="39" dxfId="0" operator="between" stopIfTrue="1">
      <formula>MAX($M$39:$M$47)</formula>
      <formula>MAX($M$39:$M$47)+1</formula>
    </cfRule>
  </conditionalFormatting>
  <conditionalFormatting sqref="N40:N48">
    <cfRule type="cellIs" priority="40" dxfId="2" operator="equal" stopIfTrue="1">
      <formula>MAX($N$39:$N$47)</formula>
    </cfRule>
    <cfRule type="cellIs" priority="41" dxfId="0" operator="between" stopIfTrue="1">
      <formula>MAX($N$39:$N$47)</formula>
      <formula>MAX($N$39:$N$47)-1</formula>
    </cfRule>
    <cfRule type="cellIs" priority="42" dxfId="0" operator="between" stopIfTrue="1">
      <formula>MAX($N$39:$N$47)</formula>
      <formula>MAX($N$39:$N$47)+1</formula>
    </cfRule>
  </conditionalFormatting>
  <hyperlinks>
    <hyperlink ref="O2:Q2" location="'Canola MR'!A1" display="Go to Marginal Return Chart"/>
    <hyperlink ref="O3:Q3" location="'Canola Fertilizer'!A1" display="Go to Fertilizer as variable"/>
    <hyperlink ref="O5" location="'Data Entry'!A1" display="Return to Data Entry"/>
    <hyperlink ref="G33" location="'Wheat crop price'!D47" display="Go to Total Net Return"/>
    <hyperlink ref="G33:G35" location="'Canola Crop'!D1" display="Return to Net Return"/>
    <hyperlink ref="G8" location="'Wheat crop price'!D47" display="Go to Total Net Return"/>
    <hyperlink ref="G8:G10" location="'Canola Crop'!D53" display="Go to Total Net Return Below"/>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S56"/>
  <sheetViews>
    <sheetView showGridLines="0" zoomScalePageLayoutView="0" workbookViewId="0" topLeftCell="A1">
      <selection activeCell="A1" sqref="A1"/>
    </sheetView>
  </sheetViews>
  <sheetFormatPr defaultColWidth="9.140625" defaultRowHeight="12.75"/>
  <cols>
    <col min="1" max="1" width="1.57421875" style="10" customWidth="1"/>
    <col min="2" max="2" width="16.57421875" style="10" customWidth="1"/>
    <col min="3" max="6" width="9.140625" style="10" customWidth="1"/>
    <col min="7" max="7" width="13.57421875" style="10" customWidth="1"/>
    <col min="8" max="14" width="9.140625" style="10" customWidth="1"/>
    <col min="15" max="15" width="27.8515625" style="157" customWidth="1"/>
    <col min="16" max="16" width="10.00390625" style="10" customWidth="1"/>
    <col min="17" max="16384" width="9.140625" style="10" customWidth="1"/>
  </cols>
  <sheetData>
    <row r="1" spans="2:10" ht="6" customHeight="1" thickBot="1">
      <c r="B1" s="11"/>
      <c r="C1" s="11"/>
      <c r="D1" s="11"/>
      <c r="E1" s="11"/>
      <c r="F1" s="11"/>
      <c r="G1" s="11"/>
      <c r="H1" s="11"/>
      <c r="I1" s="11"/>
      <c r="J1" s="11"/>
    </row>
    <row r="2" spans="1:17" ht="21">
      <c r="A2" s="11"/>
      <c r="B2" s="253" t="s">
        <v>40</v>
      </c>
      <c r="C2" s="254"/>
      <c r="D2" s="254"/>
      <c r="E2" s="254"/>
      <c r="F2" s="254"/>
      <c r="G2" s="254"/>
      <c r="H2" s="254"/>
      <c r="I2" s="254"/>
      <c r="J2" s="254"/>
      <c r="K2" s="254"/>
      <c r="L2" s="254"/>
      <c r="M2" s="254"/>
      <c r="N2" s="255"/>
      <c r="O2" s="274" t="s">
        <v>69</v>
      </c>
      <c r="P2" s="275"/>
      <c r="Q2" s="275"/>
    </row>
    <row r="3" spans="1:17" ht="21">
      <c r="A3" s="11"/>
      <c r="B3" s="256" t="s">
        <v>65</v>
      </c>
      <c r="C3" s="257"/>
      <c r="D3" s="257"/>
      <c r="E3" s="257"/>
      <c r="F3" s="257"/>
      <c r="G3" s="257"/>
      <c r="H3" s="257"/>
      <c r="I3" s="257"/>
      <c r="J3" s="257"/>
      <c r="K3" s="257"/>
      <c r="L3" s="257"/>
      <c r="M3" s="257"/>
      <c r="N3" s="258"/>
      <c r="O3" s="274" t="s">
        <v>76</v>
      </c>
      <c r="P3" s="275"/>
      <c r="Q3" s="275"/>
    </row>
    <row r="4" spans="1:17" ht="6.75" customHeight="1">
      <c r="A4" s="11"/>
      <c r="B4" s="13"/>
      <c r="C4" s="14"/>
      <c r="D4" s="14"/>
      <c r="E4" s="14"/>
      <c r="F4" s="14"/>
      <c r="G4" s="14"/>
      <c r="H4" s="14"/>
      <c r="I4" s="14"/>
      <c r="J4" s="14"/>
      <c r="K4" s="12"/>
      <c r="L4" s="12"/>
      <c r="M4" s="12"/>
      <c r="N4" s="15"/>
      <c r="O4" s="164"/>
      <c r="P4" s="162"/>
      <c r="Q4" s="162"/>
    </row>
    <row r="5" spans="2:17" ht="12.75">
      <c r="B5" s="259"/>
      <c r="C5" s="260"/>
      <c r="D5" s="260"/>
      <c r="E5" s="12"/>
      <c r="F5" s="12"/>
      <c r="G5" s="12"/>
      <c r="H5" s="12"/>
      <c r="I5" s="12"/>
      <c r="J5" s="12"/>
      <c r="K5" s="12"/>
      <c r="L5" s="12"/>
      <c r="M5" s="12"/>
      <c r="N5" s="15"/>
      <c r="O5" s="161" t="s">
        <v>100</v>
      </c>
      <c r="P5" s="162"/>
      <c r="Q5" s="162"/>
    </row>
    <row r="6" spans="1:15" ht="4.5" customHeight="1" thickBot="1">
      <c r="A6" s="16"/>
      <c r="B6" s="17"/>
      <c r="C6" s="18"/>
      <c r="D6" s="18"/>
      <c r="E6" s="18"/>
      <c r="F6" s="18"/>
      <c r="G6" s="18"/>
      <c r="H6" s="18"/>
      <c r="I6" s="18"/>
      <c r="J6" s="18"/>
      <c r="K6" s="12"/>
      <c r="L6" s="12"/>
      <c r="M6" s="12"/>
      <c r="N6" s="15"/>
      <c r="O6" s="158"/>
    </row>
    <row r="7" spans="1:15" ht="15.75" customHeight="1" thickBot="1">
      <c r="A7" s="16"/>
      <c r="B7" s="238" t="s">
        <v>39</v>
      </c>
      <c r="C7" s="239"/>
      <c r="D7" s="18"/>
      <c r="E7" s="18"/>
      <c r="F7" s="18"/>
      <c r="G7" s="18"/>
      <c r="H7" s="18"/>
      <c r="I7" s="19"/>
      <c r="J7" s="18"/>
      <c r="K7" s="19"/>
      <c r="L7" s="12"/>
      <c r="M7" s="12"/>
      <c r="N7" s="15"/>
      <c r="O7" s="158"/>
    </row>
    <row r="8" spans="1:15" ht="15" customHeight="1">
      <c r="A8" s="16"/>
      <c r="B8" s="87" t="s">
        <v>1</v>
      </c>
      <c r="C8" s="21" t="str">
        <f>'Data Entry'!C7</f>
        <v>UREA</v>
      </c>
      <c r="D8" s="18"/>
      <c r="E8" s="22"/>
      <c r="F8" s="23"/>
      <c r="G8" s="222" t="s">
        <v>106</v>
      </c>
      <c r="H8" s="23"/>
      <c r="I8" s="262" t="s">
        <v>14</v>
      </c>
      <c r="J8" s="263"/>
      <c r="K8" s="263"/>
      <c r="L8" s="263"/>
      <c r="M8" s="263"/>
      <c r="N8" s="24"/>
      <c r="O8" s="158"/>
    </row>
    <row r="9" spans="1:15" ht="13.5">
      <c r="A9" s="16"/>
      <c r="B9" s="20" t="s">
        <v>3</v>
      </c>
      <c r="C9" s="59">
        <f>'Data Entry'!C8</f>
        <v>600</v>
      </c>
      <c r="D9" s="18"/>
      <c r="E9" s="17"/>
      <c r="F9" s="18"/>
      <c r="G9" s="223"/>
      <c r="H9" s="18"/>
      <c r="I9" s="19"/>
      <c r="J9" s="18"/>
      <c r="K9" s="19"/>
      <c r="L9" s="12"/>
      <c r="M9" s="12"/>
      <c r="N9" s="15"/>
      <c r="O9" s="158"/>
    </row>
    <row r="10" spans="1:15" ht="13.5">
      <c r="A10" s="16"/>
      <c r="B10" s="20" t="s">
        <v>4</v>
      </c>
      <c r="C10" s="25">
        <f>'Data Entry'!C9</f>
        <v>46</v>
      </c>
      <c r="D10" s="18"/>
      <c r="E10" s="17"/>
      <c r="F10" s="18"/>
      <c r="G10" s="223"/>
      <c r="H10" s="26">
        <f>K10-C14*3</f>
        <v>12.5</v>
      </c>
      <c r="I10" s="26">
        <f>K10-C14*2</f>
        <v>13</v>
      </c>
      <c r="J10" s="26">
        <f>K10-C14</f>
        <v>13.5</v>
      </c>
      <c r="K10" s="27">
        <f>'Data Entry'!F17</f>
        <v>14</v>
      </c>
      <c r="L10" s="26">
        <f>K10+C14</f>
        <v>14.5</v>
      </c>
      <c r="M10" s="26">
        <f>K10+C14*2</f>
        <v>15</v>
      </c>
      <c r="N10" s="28">
        <f>K10+C14*3</f>
        <v>15.5</v>
      </c>
      <c r="O10" s="158"/>
    </row>
    <row r="11" spans="1:19" ht="13.5">
      <c r="A11" s="16"/>
      <c r="B11" s="20" t="s">
        <v>5</v>
      </c>
      <c r="C11" s="61">
        <f>(C9/((C10/100)*2200))</f>
        <v>0.5928853754940712</v>
      </c>
      <c r="D11" s="18"/>
      <c r="E11" s="17"/>
      <c r="F11" s="18"/>
      <c r="G11" s="29" t="s">
        <v>6</v>
      </c>
      <c r="H11" s="18"/>
      <c r="I11" s="18"/>
      <c r="J11" s="18"/>
      <c r="K11" s="12"/>
      <c r="L11" s="12"/>
      <c r="M11" s="12"/>
      <c r="N11" s="15"/>
      <c r="O11" s="156"/>
      <c r="P11"/>
      <c r="Q11"/>
      <c r="R11"/>
      <c r="S11"/>
    </row>
    <row r="12" spans="1:19" ht="13.5">
      <c r="A12" s="16"/>
      <c r="B12" s="30" t="s">
        <v>20</v>
      </c>
      <c r="C12" s="31">
        <f>'Data Entry'!C11</f>
        <v>10</v>
      </c>
      <c r="D12" s="18"/>
      <c r="E12" s="32"/>
      <c r="F12" s="29" t="s">
        <v>67</v>
      </c>
      <c r="G12" s="29" t="s">
        <v>7</v>
      </c>
      <c r="H12" s="264" t="s">
        <v>8</v>
      </c>
      <c r="I12" s="264"/>
      <c r="J12" s="264"/>
      <c r="K12" s="264"/>
      <c r="L12" s="264"/>
      <c r="M12" s="264"/>
      <c r="N12" s="265"/>
      <c r="O12" s="156"/>
      <c r="P12"/>
      <c r="Q12"/>
      <c r="R12"/>
      <c r="S12"/>
    </row>
    <row r="13" spans="1:19" ht="14.25" thickBot="1">
      <c r="A13" s="16"/>
      <c r="B13" s="33" t="s">
        <v>113</v>
      </c>
      <c r="C13" s="34"/>
      <c r="D13" s="18"/>
      <c r="E13" s="35" t="s">
        <v>9</v>
      </c>
      <c r="F13" s="36" t="s">
        <v>68</v>
      </c>
      <c r="G13" s="36" t="s">
        <v>10</v>
      </c>
      <c r="H13" s="228" t="s">
        <v>15</v>
      </c>
      <c r="I13" s="228"/>
      <c r="J13" s="228"/>
      <c r="K13" s="228"/>
      <c r="L13" s="228"/>
      <c r="M13" s="228"/>
      <c r="N13" s="229"/>
      <c r="O13" s="156"/>
      <c r="P13"/>
      <c r="Q13"/>
      <c r="R13"/>
      <c r="S13"/>
    </row>
    <row r="14" spans="1:19" ht="13.5">
      <c r="A14" s="16"/>
      <c r="B14" s="37" t="s">
        <v>115</v>
      </c>
      <c r="C14" s="38">
        <f>'Data Entry'!C13</f>
        <v>0.5</v>
      </c>
      <c r="D14" s="18"/>
      <c r="E14" s="39" t="s">
        <v>11</v>
      </c>
      <c r="F14" s="40" t="s">
        <v>12</v>
      </c>
      <c r="G14" s="40" t="s">
        <v>12</v>
      </c>
      <c r="H14" s="41">
        <f>H10/$C$11</f>
        <v>21.083333333333332</v>
      </c>
      <c r="I14" s="41">
        <f aca="true" t="shared" si="0" ref="I14:N14">I10/$C$11</f>
        <v>21.926666666666666</v>
      </c>
      <c r="J14" s="41">
        <f t="shared" si="0"/>
        <v>22.77</v>
      </c>
      <c r="K14" s="41">
        <f t="shared" si="0"/>
        <v>23.613333333333333</v>
      </c>
      <c r="L14" s="41">
        <f t="shared" si="0"/>
        <v>24.456666666666667</v>
      </c>
      <c r="M14" s="41">
        <f t="shared" si="0"/>
        <v>25.3</v>
      </c>
      <c r="N14" s="42">
        <f t="shared" si="0"/>
        <v>26.14333333333333</v>
      </c>
      <c r="O14" s="156"/>
      <c r="P14"/>
      <c r="Q14"/>
      <c r="R14"/>
      <c r="S14"/>
    </row>
    <row r="15" spans="1:19" ht="13.5">
      <c r="A15" s="16"/>
      <c r="B15" s="43" t="s">
        <v>28</v>
      </c>
      <c r="C15" s="34"/>
      <c r="D15" s="18"/>
      <c r="E15" s="44">
        <f>IF((E19-4*$C$12)&lt;0,0,(E19-4*$C$12))</f>
        <v>60</v>
      </c>
      <c r="F15" s="128">
        <f>G15+(-0.0005*($C$16)^2+0.2317*($C$16))+25.899</f>
        <v>42.702</v>
      </c>
      <c r="G15" s="128">
        <f>IF(((-0.0005*(E15+$C$16)^2+0.2317*(E15+$C$16))-(-0.0005*($C$16)^2+0.2317*($C$16)))&lt;0,0,(-0.0005*(E15+$C$16)^2+0.2317*(E15+$C$16))-(-0.0005*($C$16)^2+0.2317*($C$16)))</f>
        <v>10.301999999999998</v>
      </c>
      <c r="H15" s="137">
        <f aca="true" t="shared" si="1" ref="H15:N15">(H$10*$G15)-($C$11*($E15))</f>
        <v>93.2018774703557</v>
      </c>
      <c r="I15" s="137">
        <f t="shared" si="1"/>
        <v>98.35287747035568</v>
      </c>
      <c r="J15" s="137">
        <f t="shared" si="1"/>
        <v>103.50387747035569</v>
      </c>
      <c r="K15" s="137">
        <f t="shared" si="1"/>
        <v>108.6548774703557</v>
      </c>
      <c r="L15" s="137">
        <f t="shared" si="1"/>
        <v>113.80587747035568</v>
      </c>
      <c r="M15" s="137">
        <f t="shared" si="1"/>
        <v>118.95687747035569</v>
      </c>
      <c r="N15" s="138">
        <f t="shared" si="1"/>
        <v>124.10787747035567</v>
      </c>
      <c r="O15" s="156"/>
      <c r="P15"/>
      <c r="Q15"/>
      <c r="R15"/>
      <c r="S15"/>
    </row>
    <row r="16" spans="1:19" ht="13.5">
      <c r="A16" s="16"/>
      <c r="B16" s="37" t="s">
        <v>29</v>
      </c>
      <c r="C16" s="45">
        <f>'Data Entry'!C15</f>
        <v>30</v>
      </c>
      <c r="D16" s="18"/>
      <c r="E16" s="44">
        <f>IF((E20-4*$C$12)&lt;0,0,(E20-4*$C$12))</f>
        <v>70</v>
      </c>
      <c r="F16" s="128">
        <f aca="true" t="shared" si="2" ref="F16:F23">G16+(-0.0005*($C$16)^2+0.2317*($C$16))+25.899</f>
        <v>44.069</v>
      </c>
      <c r="G16" s="128">
        <f aca="true" t="shared" si="3" ref="G16:G23">IF(((-0.0005*(E16+$C$16)^2+0.2317*(E16+$C$16))-(-0.0005*($C$16)^2+0.2317*($C$16)))&lt;0,0,(-0.0005*(E16+$C$16)^2+0.2317*(E16+$C$16))-(-0.0005*($C$16)^2+0.2317*($C$16)))</f>
        <v>11.668999999999999</v>
      </c>
      <c r="H16" s="137">
        <f aca="true" t="shared" si="4" ref="H16:N23">(H$10*$G16)-($C$11*($E16))</f>
        <v>104.360523715415</v>
      </c>
      <c r="I16" s="137">
        <f t="shared" si="4"/>
        <v>110.19502371541499</v>
      </c>
      <c r="J16" s="137">
        <f t="shared" si="4"/>
        <v>116.02952371541501</v>
      </c>
      <c r="K16" s="137">
        <f t="shared" si="4"/>
        <v>121.864023715415</v>
      </c>
      <c r="L16" s="137">
        <f t="shared" si="4"/>
        <v>127.69852371541499</v>
      </c>
      <c r="M16" s="137">
        <f t="shared" si="4"/>
        <v>133.53302371541497</v>
      </c>
      <c r="N16" s="138">
        <f t="shared" si="4"/>
        <v>139.36752371541502</v>
      </c>
      <c r="O16" s="156"/>
      <c r="P16"/>
      <c r="Q16"/>
      <c r="R16"/>
      <c r="S16"/>
    </row>
    <row r="17" spans="1:19" ht="13.5">
      <c r="A17" s="16"/>
      <c r="B17" s="43" t="s">
        <v>30</v>
      </c>
      <c r="C17" s="46"/>
      <c r="D17" s="18"/>
      <c r="E17" s="44">
        <f>IF((E21-4*$C$12)&lt;0,0,(E21-4*$C$12))</f>
        <v>80</v>
      </c>
      <c r="F17" s="128">
        <f t="shared" si="2"/>
        <v>45.336</v>
      </c>
      <c r="G17" s="128">
        <f t="shared" si="3"/>
        <v>12.935999999999998</v>
      </c>
      <c r="H17" s="137">
        <f t="shared" si="4"/>
        <v>114.2691699604743</v>
      </c>
      <c r="I17" s="137">
        <f t="shared" si="4"/>
        <v>120.73716996047429</v>
      </c>
      <c r="J17" s="137">
        <f t="shared" si="4"/>
        <v>127.20516996047428</v>
      </c>
      <c r="K17" s="137">
        <f t="shared" si="4"/>
        <v>133.6731699604743</v>
      </c>
      <c r="L17" s="137">
        <f t="shared" si="4"/>
        <v>140.1411699604743</v>
      </c>
      <c r="M17" s="137">
        <f t="shared" si="4"/>
        <v>146.60916996047428</v>
      </c>
      <c r="N17" s="138">
        <f t="shared" si="4"/>
        <v>153.0771699604743</v>
      </c>
      <c r="O17" s="156"/>
      <c r="P17"/>
      <c r="Q17"/>
      <c r="R17"/>
      <c r="S17"/>
    </row>
    <row r="18" spans="1:19" ht="14.25" thickBot="1">
      <c r="A18" s="16"/>
      <c r="B18" s="17"/>
      <c r="C18" s="18"/>
      <c r="D18" s="18"/>
      <c r="E18" s="44">
        <f>IF((E22-4*$C$12)&lt;0,0,(E22-4*$C$12))</f>
        <v>90</v>
      </c>
      <c r="F18" s="128">
        <f t="shared" si="2"/>
        <v>46.503</v>
      </c>
      <c r="G18" s="128">
        <f t="shared" si="3"/>
        <v>14.103</v>
      </c>
      <c r="H18" s="137">
        <f t="shared" si="4"/>
        <v>122.92781620553359</v>
      </c>
      <c r="I18" s="137">
        <f t="shared" si="4"/>
        <v>129.9793162055336</v>
      </c>
      <c r="J18" s="137">
        <f t="shared" si="4"/>
        <v>137.0308162055336</v>
      </c>
      <c r="K18" s="137">
        <f t="shared" si="4"/>
        <v>144.0823162055336</v>
      </c>
      <c r="L18" s="137">
        <f t="shared" si="4"/>
        <v>151.13381620553358</v>
      </c>
      <c r="M18" s="137">
        <f t="shared" si="4"/>
        <v>158.18531620553358</v>
      </c>
      <c r="N18" s="138">
        <f t="shared" si="4"/>
        <v>165.2368162055336</v>
      </c>
      <c r="O18" s="156"/>
      <c r="P18"/>
      <c r="Q18"/>
      <c r="R18"/>
      <c r="S18"/>
    </row>
    <row r="19" spans="1:19" ht="14.25" thickBot="1">
      <c r="A19" s="16"/>
      <c r="B19" s="54"/>
      <c r="C19" s="48"/>
      <c r="D19" s="49" t="s">
        <v>13</v>
      </c>
      <c r="E19" s="50">
        <f>'Data Entry'!F12</f>
        <v>100</v>
      </c>
      <c r="F19" s="128">
        <f t="shared" si="2"/>
        <v>47.57</v>
      </c>
      <c r="G19" s="128">
        <f t="shared" si="3"/>
        <v>15.17</v>
      </c>
      <c r="H19" s="137">
        <f t="shared" si="4"/>
        <v>130.33646245059288</v>
      </c>
      <c r="I19" s="137">
        <f t="shared" si="4"/>
        <v>137.92146245059288</v>
      </c>
      <c r="J19" s="137">
        <f t="shared" si="4"/>
        <v>145.50646245059286</v>
      </c>
      <c r="K19" s="137">
        <f t="shared" si="4"/>
        <v>153.09146245059287</v>
      </c>
      <c r="L19" s="137">
        <f t="shared" si="4"/>
        <v>160.67646245059288</v>
      </c>
      <c r="M19" s="137">
        <f t="shared" si="4"/>
        <v>168.2614624505929</v>
      </c>
      <c r="N19" s="138">
        <f t="shared" si="4"/>
        <v>175.84646245059287</v>
      </c>
      <c r="O19" s="156"/>
      <c r="P19"/>
      <c r="Q19"/>
      <c r="R19"/>
      <c r="S19"/>
    </row>
    <row r="20" spans="1:19" ht="13.5">
      <c r="A20" s="16"/>
      <c r="B20" s="17"/>
      <c r="C20" s="18"/>
      <c r="D20" s="18"/>
      <c r="E20" s="51">
        <f>E19+C12</f>
        <v>110</v>
      </c>
      <c r="F20" s="128">
        <f t="shared" si="2"/>
        <v>48.53699999999999</v>
      </c>
      <c r="G20" s="128">
        <f t="shared" si="3"/>
        <v>16.136999999999993</v>
      </c>
      <c r="H20" s="137">
        <f t="shared" si="4"/>
        <v>136.4951086956521</v>
      </c>
      <c r="I20" s="137">
        <f t="shared" si="4"/>
        <v>144.56360869565208</v>
      </c>
      <c r="J20" s="137">
        <f t="shared" si="4"/>
        <v>152.6321086956521</v>
      </c>
      <c r="K20" s="137">
        <f t="shared" si="4"/>
        <v>160.70060869565208</v>
      </c>
      <c r="L20" s="137">
        <f t="shared" si="4"/>
        <v>168.76910869565205</v>
      </c>
      <c r="M20" s="137">
        <f t="shared" si="4"/>
        <v>176.83760869565208</v>
      </c>
      <c r="N20" s="138">
        <f t="shared" si="4"/>
        <v>184.90610869565205</v>
      </c>
      <c r="O20" s="156"/>
      <c r="P20"/>
      <c r="Q20"/>
      <c r="R20"/>
      <c r="S20"/>
    </row>
    <row r="21" spans="1:19" ht="13.5">
      <c r="A21" s="16"/>
      <c r="B21" s="17"/>
      <c r="C21" s="18"/>
      <c r="D21" s="18"/>
      <c r="E21" s="51">
        <f>E19+2*C12</f>
        <v>120</v>
      </c>
      <c r="F21" s="128">
        <f t="shared" si="2"/>
        <v>49.403999999999996</v>
      </c>
      <c r="G21" s="128">
        <f t="shared" si="3"/>
        <v>17.003999999999998</v>
      </c>
      <c r="H21" s="137">
        <f t="shared" si="4"/>
        <v>141.40375494071145</v>
      </c>
      <c r="I21" s="137">
        <f t="shared" si="4"/>
        <v>149.9057549407114</v>
      </c>
      <c r="J21" s="137">
        <f t="shared" si="4"/>
        <v>158.4077549407114</v>
      </c>
      <c r="K21" s="137">
        <f t="shared" si="4"/>
        <v>166.90975494071142</v>
      </c>
      <c r="L21" s="137">
        <f t="shared" si="4"/>
        <v>175.41175494071143</v>
      </c>
      <c r="M21" s="137">
        <f t="shared" si="4"/>
        <v>183.91375494071144</v>
      </c>
      <c r="N21" s="138">
        <f t="shared" si="4"/>
        <v>192.4157549407114</v>
      </c>
      <c r="O21" s="156"/>
      <c r="P21"/>
      <c r="Q21"/>
      <c r="R21"/>
      <c r="S21"/>
    </row>
    <row r="22" spans="1:19" ht="13.5">
      <c r="A22" s="16"/>
      <c r="B22" s="17"/>
      <c r="C22" s="18"/>
      <c r="D22" s="18"/>
      <c r="E22" s="51">
        <f>E19+3*C12</f>
        <v>130</v>
      </c>
      <c r="F22" s="128">
        <f t="shared" si="2"/>
        <v>50.17099999999999</v>
      </c>
      <c r="G22" s="128">
        <f t="shared" si="3"/>
        <v>17.770999999999994</v>
      </c>
      <c r="H22" s="137">
        <f t="shared" si="4"/>
        <v>145.06240118577068</v>
      </c>
      <c r="I22" s="137">
        <f t="shared" si="4"/>
        <v>153.94790118577066</v>
      </c>
      <c r="J22" s="137">
        <f t="shared" si="4"/>
        <v>162.83340118577067</v>
      </c>
      <c r="K22" s="137">
        <f t="shared" si="4"/>
        <v>171.71890118577068</v>
      </c>
      <c r="L22" s="137">
        <f t="shared" si="4"/>
        <v>180.60440118577066</v>
      </c>
      <c r="M22" s="137">
        <f t="shared" si="4"/>
        <v>189.48990118577063</v>
      </c>
      <c r="N22" s="138">
        <f t="shared" si="4"/>
        <v>198.37540118577067</v>
      </c>
      <c r="O22" s="156"/>
      <c r="P22"/>
      <c r="Q22"/>
      <c r="R22"/>
      <c r="S22"/>
    </row>
    <row r="23" spans="1:19" ht="13.5">
      <c r="A23" s="16"/>
      <c r="B23" s="17"/>
      <c r="C23" s="18"/>
      <c r="D23" s="18"/>
      <c r="E23" s="51">
        <f>E19+4*C12</f>
        <v>140</v>
      </c>
      <c r="F23" s="128">
        <f t="shared" si="2"/>
        <v>50.837999999999994</v>
      </c>
      <c r="G23" s="128">
        <f t="shared" si="3"/>
        <v>18.437999999999995</v>
      </c>
      <c r="H23" s="137">
        <f t="shared" si="4"/>
        <v>147.47104743082997</v>
      </c>
      <c r="I23" s="137">
        <f t="shared" si="4"/>
        <v>156.69004743082996</v>
      </c>
      <c r="J23" s="137">
        <f t="shared" si="4"/>
        <v>165.90904743082996</v>
      </c>
      <c r="K23" s="137">
        <f t="shared" si="4"/>
        <v>175.12804743082998</v>
      </c>
      <c r="L23" s="137">
        <f t="shared" si="4"/>
        <v>184.34704743082997</v>
      </c>
      <c r="M23" s="137">
        <f t="shared" si="4"/>
        <v>193.56604743082997</v>
      </c>
      <c r="N23" s="138">
        <f t="shared" si="4"/>
        <v>202.78504743082996</v>
      </c>
      <c r="O23" s="156"/>
      <c r="P23"/>
      <c r="Q23"/>
      <c r="R23"/>
      <c r="S23"/>
    </row>
    <row r="24" spans="1:19" ht="11.25" customHeight="1">
      <c r="A24" s="16"/>
      <c r="B24" s="17"/>
      <c r="C24" s="18"/>
      <c r="D24" s="18"/>
      <c r="E24" s="276" t="s">
        <v>66</v>
      </c>
      <c r="F24" s="277"/>
      <c r="G24" s="277"/>
      <c r="H24" s="277"/>
      <c r="I24" s="277"/>
      <c r="J24" s="277"/>
      <c r="K24" s="277"/>
      <c r="L24" s="277"/>
      <c r="M24" s="277"/>
      <c r="N24" s="278"/>
      <c r="O24" s="156"/>
      <c r="P24"/>
      <c r="Q24"/>
      <c r="R24"/>
      <c r="S24"/>
    </row>
    <row r="25" spans="1:19" ht="11.25" customHeight="1">
      <c r="A25" s="16"/>
      <c r="B25" s="17"/>
      <c r="C25" s="18"/>
      <c r="D25" s="18"/>
      <c r="E25" s="266" t="s">
        <v>16</v>
      </c>
      <c r="F25" s="267"/>
      <c r="G25" s="267"/>
      <c r="H25" s="267"/>
      <c r="I25" s="267"/>
      <c r="J25" s="267"/>
      <c r="K25" s="267"/>
      <c r="L25" s="267"/>
      <c r="M25" s="267"/>
      <c r="N25" s="268"/>
      <c r="O25" s="156"/>
      <c r="P25"/>
      <c r="Q25"/>
      <c r="R25"/>
      <c r="S25"/>
    </row>
    <row r="26" spans="1:19" ht="11.25" customHeight="1">
      <c r="A26" s="16"/>
      <c r="B26" s="17"/>
      <c r="C26" s="18"/>
      <c r="D26" s="18"/>
      <c r="E26" s="266" t="s">
        <v>25</v>
      </c>
      <c r="F26" s="267"/>
      <c r="G26" s="267"/>
      <c r="H26" s="267"/>
      <c r="I26" s="267"/>
      <c r="J26" s="267"/>
      <c r="K26" s="267"/>
      <c r="L26" s="267"/>
      <c r="M26" s="267"/>
      <c r="N26" s="268"/>
      <c r="O26" s="156"/>
      <c r="P26"/>
      <c r="Q26"/>
      <c r="R26"/>
      <c r="S26"/>
    </row>
    <row r="27" spans="1:19" ht="11.25" customHeight="1">
      <c r="A27" s="16"/>
      <c r="B27" s="17"/>
      <c r="C27" s="18"/>
      <c r="D27" s="18"/>
      <c r="E27" s="245" t="s">
        <v>92</v>
      </c>
      <c r="F27" s="246"/>
      <c r="G27" s="246"/>
      <c r="H27" s="246"/>
      <c r="I27" s="246"/>
      <c r="J27" s="246"/>
      <c r="K27" s="247"/>
      <c r="L27" s="247"/>
      <c r="M27" s="247"/>
      <c r="N27" s="248"/>
      <c r="O27" s="156"/>
      <c r="P27"/>
      <c r="Q27"/>
      <c r="R27"/>
      <c r="S27"/>
    </row>
    <row r="28" spans="1:19" ht="11.25" customHeight="1" thickBot="1">
      <c r="A28" s="16"/>
      <c r="B28" s="17"/>
      <c r="C28" s="18"/>
      <c r="D28" s="18"/>
      <c r="E28" s="269" t="s">
        <v>38</v>
      </c>
      <c r="F28" s="270"/>
      <c r="G28" s="271"/>
      <c r="H28" s="271"/>
      <c r="I28" s="271"/>
      <c r="J28" s="271"/>
      <c r="K28" s="272"/>
      <c r="L28" s="272"/>
      <c r="M28" s="272"/>
      <c r="N28" s="273"/>
      <c r="O28" s="156"/>
      <c r="P28"/>
      <c r="Q28"/>
      <c r="R28"/>
      <c r="S28"/>
    </row>
    <row r="29" spans="2:19" ht="11.25" customHeight="1">
      <c r="B29" s="17"/>
      <c r="E29" s="267"/>
      <c r="F29" s="267"/>
      <c r="G29" s="267"/>
      <c r="H29" s="267"/>
      <c r="I29" s="267"/>
      <c r="J29" s="267"/>
      <c r="K29" s="267"/>
      <c r="L29" s="267"/>
      <c r="M29" s="267"/>
      <c r="N29" s="268"/>
      <c r="O29" s="156"/>
      <c r="P29"/>
      <c r="Q29"/>
      <c r="R29"/>
      <c r="S29"/>
    </row>
    <row r="30" spans="2:19" ht="10.5" customHeight="1" thickBot="1">
      <c r="B30" s="224"/>
      <c r="C30" s="225"/>
      <c r="D30" s="225"/>
      <c r="E30" s="225"/>
      <c r="F30" s="225"/>
      <c r="G30" s="225"/>
      <c r="H30" s="225"/>
      <c r="I30" s="225"/>
      <c r="J30" s="225"/>
      <c r="K30" s="55"/>
      <c r="L30" s="55"/>
      <c r="M30" s="55"/>
      <c r="N30" s="56"/>
      <c r="O30" s="156"/>
      <c r="P30"/>
      <c r="Q30"/>
      <c r="R30"/>
      <c r="S30"/>
    </row>
    <row r="31" spans="2:19" ht="4.5" customHeight="1" thickBot="1">
      <c r="B31" s="194"/>
      <c r="N31" s="24"/>
      <c r="O31" s="156"/>
      <c r="P31"/>
      <c r="Q31"/>
      <c r="R31"/>
      <c r="S31"/>
    </row>
    <row r="32" spans="1:15" ht="15.75" customHeight="1" thickBot="1">
      <c r="A32" s="16"/>
      <c r="B32" s="238" t="s">
        <v>39</v>
      </c>
      <c r="C32" s="239"/>
      <c r="E32" s="18"/>
      <c r="F32" s="18"/>
      <c r="G32" s="18"/>
      <c r="H32" s="18"/>
      <c r="I32" s="19"/>
      <c r="J32" s="18"/>
      <c r="K32" s="19"/>
      <c r="L32" s="12"/>
      <c r="M32" s="12"/>
      <c r="N32" s="15"/>
      <c r="O32" s="158"/>
    </row>
    <row r="33" spans="1:15" ht="15" customHeight="1">
      <c r="A33" s="16"/>
      <c r="B33" s="87" t="s">
        <v>1</v>
      </c>
      <c r="C33" s="21" t="str">
        <f>'Data Entry'!C7</f>
        <v>UREA</v>
      </c>
      <c r="D33" s="18"/>
      <c r="F33" s="22"/>
      <c r="G33" s="222" t="s">
        <v>108</v>
      </c>
      <c r="H33" s="23"/>
      <c r="I33" s="262" t="s">
        <v>14</v>
      </c>
      <c r="J33" s="263"/>
      <c r="K33" s="263"/>
      <c r="L33" s="263"/>
      <c r="M33" s="263"/>
      <c r="N33" s="24"/>
      <c r="O33" s="158"/>
    </row>
    <row r="34" spans="1:15" ht="13.5">
      <c r="A34" s="16"/>
      <c r="B34" s="20" t="s">
        <v>3</v>
      </c>
      <c r="C34" s="184">
        <f>'Data Entry'!C8</f>
        <v>600</v>
      </c>
      <c r="D34" s="18"/>
      <c r="F34" s="17"/>
      <c r="G34" s="223"/>
      <c r="H34" s="18"/>
      <c r="I34" s="19"/>
      <c r="J34" s="18"/>
      <c r="K34" s="19"/>
      <c r="L34" s="12"/>
      <c r="M34" s="12"/>
      <c r="N34" s="15"/>
      <c r="O34" s="158"/>
    </row>
    <row r="35" spans="1:15" ht="13.5">
      <c r="A35" s="16"/>
      <c r="B35" s="20" t="s">
        <v>4</v>
      </c>
      <c r="C35" s="25">
        <f>'Data Entry'!C9</f>
        <v>46</v>
      </c>
      <c r="D35" s="18"/>
      <c r="F35" s="17"/>
      <c r="G35" s="223"/>
      <c r="H35" s="26">
        <f>K35-C39*3</f>
        <v>12.5</v>
      </c>
      <c r="I35" s="26">
        <f>K35-C39*2</f>
        <v>13</v>
      </c>
      <c r="J35" s="26">
        <f>K35-C39</f>
        <v>13.5</v>
      </c>
      <c r="K35" s="27">
        <f>'Data Entry'!F17</f>
        <v>14</v>
      </c>
      <c r="L35" s="26">
        <f>K35+C39</f>
        <v>14.5</v>
      </c>
      <c r="M35" s="26">
        <f>K35+C39*2</f>
        <v>15</v>
      </c>
      <c r="N35" s="28">
        <f>K35+C39*3</f>
        <v>15.5</v>
      </c>
      <c r="O35" s="158"/>
    </row>
    <row r="36" spans="1:15" ht="13.5">
      <c r="A36" s="16"/>
      <c r="B36" s="20" t="s">
        <v>5</v>
      </c>
      <c r="C36" s="61">
        <f>(C34/((C35/100)*2200))</f>
        <v>0.5928853754940712</v>
      </c>
      <c r="D36" s="18"/>
      <c r="F36" s="17"/>
      <c r="G36" s="29" t="s">
        <v>6</v>
      </c>
      <c r="H36" s="18"/>
      <c r="I36" s="18"/>
      <c r="J36" s="18"/>
      <c r="K36" s="12"/>
      <c r="L36" s="12"/>
      <c r="M36" s="12"/>
      <c r="N36" s="15"/>
      <c r="O36" s="158"/>
    </row>
    <row r="37" spans="1:19" ht="13.5">
      <c r="A37" s="16"/>
      <c r="B37" s="30" t="s">
        <v>20</v>
      </c>
      <c r="C37" s="31">
        <f>'Data Entry'!C11</f>
        <v>10</v>
      </c>
      <c r="D37" s="18"/>
      <c r="F37" s="32"/>
      <c r="G37" s="70" t="s">
        <v>67</v>
      </c>
      <c r="H37" s="264" t="s">
        <v>8</v>
      </c>
      <c r="I37" s="264"/>
      <c r="J37" s="264"/>
      <c r="K37" s="264"/>
      <c r="L37" s="264"/>
      <c r="M37" s="264"/>
      <c r="N37" s="265"/>
      <c r="O37" s="156"/>
      <c r="P37"/>
      <c r="Q37"/>
      <c r="R37"/>
      <c r="S37"/>
    </row>
    <row r="38" spans="1:19" ht="14.25" thickBot="1">
      <c r="A38" s="16"/>
      <c r="B38" s="33" t="s">
        <v>21</v>
      </c>
      <c r="C38" s="34"/>
      <c r="D38" s="18"/>
      <c r="F38" s="35" t="s">
        <v>9</v>
      </c>
      <c r="G38" s="73" t="s">
        <v>68</v>
      </c>
      <c r="H38" s="228" t="s">
        <v>15</v>
      </c>
      <c r="I38" s="228"/>
      <c r="J38" s="228"/>
      <c r="K38" s="228"/>
      <c r="L38" s="228"/>
      <c r="M38" s="228"/>
      <c r="N38" s="229"/>
      <c r="O38" s="156"/>
      <c r="P38"/>
      <c r="Q38"/>
      <c r="R38"/>
      <c r="S38"/>
    </row>
    <row r="39" spans="1:19" ht="13.5">
      <c r="A39" s="16"/>
      <c r="B39" s="37" t="s">
        <v>115</v>
      </c>
      <c r="C39" s="57">
        <f>'Data Entry'!C13</f>
        <v>0.5</v>
      </c>
      <c r="D39" s="18"/>
      <c r="F39" s="39" t="s">
        <v>11</v>
      </c>
      <c r="G39" s="75" t="s">
        <v>12</v>
      </c>
      <c r="H39" s="41">
        <f aca="true" t="shared" si="5" ref="H39:N39">H35/$C$11</f>
        <v>21.083333333333332</v>
      </c>
      <c r="I39" s="41">
        <f t="shared" si="5"/>
        <v>21.926666666666666</v>
      </c>
      <c r="J39" s="41">
        <f t="shared" si="5"/>
        <v>22.77</v>
      </c>
      <c r="K39" s="41">
        <f t="shared" si="5"/>
        <v>23.613333333333333</v>
      </c>
      <c r="L39" s="41">
        <f t="shared" si="5"/>
        <v>24.456666666666667</v>
      </c>
      <c r="M39" s="41">
        <f t="shared" si="5"/>
        <v>25.3</v>
      </c>
      <c r="N39" s="42">
        <f t="shared" si="5"/>
        <v>26.14333333333333</v>
      </c>
      <c r="O39" s="156"/>
      <c r="P39"/>
      <c r="Q39"/>
      <c r="R39"/>
      <c r="S39"/>
    </row>
    <row r="40" spans="1:19" ht="13.5">
      <c r="A40" s="16"/>
      <c r="B40" s="43" t="s">
        <v>28</v>
      </c>
      <c r="C40" s="34"/>
      <c r="D40" s="18"/>
      <c r="F40" s="44">
        <f>IF((F44-4*$C$12)&lt;0,0,(F44-4*$C$12))</f>
        <v>10</v>
      </c>
      <c r="G40" s="128">
        <f>G15+(-0.0005*($C$16)^2+0.2317*($C$16))+25.899</f>
        <v>42.702</v>
      </c>
      <c r="H40" s="137">
        <f aca="true" t="shared" si="6" ref="H40:N40">(H$10*$G40)-($C$11*($F40))</f>
        <v>527.8461462450592</v>
      </c>
      <c r="I40" s="137">
        <f t="shared" si="6"/>
        <v>549.1971462450592</v>
      </c>
      <c r="J40" s="137">
        <f t="shared" si="6"/>
        <v>570.5481462450592</v>
      </c>
      <c r="K40" s="137">
        <f t="shared" si="6"/>
        <v>591.8991462450592</v>
      </c>
      <c r="L40" s="137">
        <f t="shared" si="6"/>
        <v>613.2501462450592</v>
      </c>
      <c r="M40" s="137">
        <f t="shared" si="6"/>
        <v>634.6011462450592</v>
      </c>
      <c r="N40" s="138">
        <f t="shared" si="6"/>
        <v>655.9521462450592</v>
      </c>
      <c r="O40" s="156"/>
      <c r="P40"/>
      <c r="Q40"/>
      <c r="R40"/>
      <c r="S40"/>
    </row>
    <row r="41" spans="1:19" ht="13.5">
      <c r="A41" s="16"/>
      <c r="B41" s="37" t="s">
        <v>29</v>
      </c>
      <c r="C41" s="45">
        <f>'Data Entry'!C15</f>
        <v>30</v>
      </c>
      <c r="D41" s="18"/>
      <c r="F41" s="44">
        <f>IF((F45-4*$C$12)&lt;0,0,(F45-4*$C$12))</f>
        <v>20</v>
      </c>
      <c r="G41" s="128">
        <f aca="true" t="shared" si="7" ref="G41:G48">G16+(-0.0005*($C$16)^2+0.2317*($C$16))+25.899</f>
        <v>44.069</v>
      </c>
      <c r="H41" s="137">
        <f aca="true" t="shared" si="8" ref="H41:N48">(H$10*$G41)-($C$11*($F41))</f>
        <v>539.0047924901187</v>
      </c>
      <c r="I41" s="137">
        <f t="shared" si="8"/>
        <v>561.0392924901187</v>
      </c>
      <c r="J41" s="137">
        <f t="shared" si="8"/>
        <v>583.0737924901186</v>
      </c>
      <c r="K41" s="137">
        <f t="shared" si="8"/>
        <v>605.1082924901186</v>
      </c>
      <c r="L41" s="137">
        <f t="shared" si="8"/>
        <v>627.1427924901186</v>
      </c>
      <c r="M41" s="137">
        <f t="shared" si="8"/>
        <v>649.1772924901187</v>
      </c>
      <c r="N41" s="138">
        <f t="shared" si="8"/>
        <v>671.2117924901187</v>
      </c>
      <c r="O41" s="156"/>
      <c r="P41"/>
      <c r="Q41"/>
      <c r="R41"/>
      <c r="S41"/>
    </row>
    <row r="42" spans="1:19" ht="13.5">
      <c r="A42" s="16"/>
      <c r="B42" s="43" t="s">
        <v>30</v>
      </c>
      <c r="C42" s="46"/>
      <c r="D42" s="18"/>
      <c r="F42" s="44">
        <f>IF((F46-4*$C$12)&lt;0,0,(F46-4*$C$12))</f>
        <v>30</v>
      </c>
      <c r="G42" s="128">
        <f t="shared" si="7"/>
        <v>45.336</v>
      </c>
      <c r="H42" s="137">
        <f t="shared" si="8"/>
        <v>548.9134387351778</v>
      </c>
      <c r="I42" s="137">
        <f t="shared" si="8"/>
        <v>571.5814387351778</v>
      </c>
      <c r="J42" s="137">
        <f t="shared" si="8"/>
        <v>594.2494387351778</v>
      </c>
      <c r="K42" s="137">
        <f t="shared" si="8"/>
        <v>616.9174387351778</v>
      </c>
      <c r="L42" s="137">
        <f t="shared" si="8"/>
        <v>639.5854387351778</v>
      </c>
      <c r="M42" s="137">
        <f t="shared" si="8"/>
        <v>662.2534387351778</v>
      </c>
      <c r="N42" s="138">
        <f t="shared" si="8"/>
        <v>684.9214387351778</v>
      </c>
      <c r="O42" s="156"/>
      <c r="P42"/>
      <c r="Q42"/>
      <c r="R42"/>
      <c r="S42"/>
    </row>
    <row r="43" spans="1:19" ht="14.25" thickBot="1">
      <c r="A43" s="16"/>
      <c r="B43" s="17"/>
      <c r="C43" s="18"/>
      <c r="D43" s="18"/>
      <c r="F43" s="44">
        <f>IF((F47-4*$C$12)&lt;0,0,(F47-4*$C$12))</f>
        <v>40</v>
      </c>
      <c r="G43" s="128">
        <f t="shared" si="7"/>
        <v>46.503</v>
      </c>
      <c r="H43" s="137">
        <f t="shared" si="8"/>
        <v>557.5720849802372</v>
      </c>
      <c r="I43" s="137">
        <f t="shared" si="8"/>
        <v>580.8235849802371</v>
      </c>
      <c r="J43" s="137">
        <f t="shared" si="8"/>
        <v>604.0750849802371</v>
      </c>
      <c r="K43" s="137">
        <f t="shared" si="8"/>
        <v>627.3265849802372</v>
      </c>
      <c r="L43" s="137">
        <f t="shared" si="8"/>
        <v>650.5780849802371</v>
      </c>
      <c r="M43" s="137">
        <f t="shared" si="8"/>
        <v>673.8295849802371</v>
      </c>
      <c r="N43" s="138">
        <f t="shared" si="8"/>
        <v>697.0810849802372</v>
      </c>
      <c r="O43" s="156"/>
      <c r="P43"/>
      <c r="Q43"/>
      <c r="R43"/>
      <c r="S43"/>
    </row>
    <row r="44" spans="1:19" ht="14.25" thickBot="1">
      <c r="A44" s="16"/>
      <c r="B44" s="47"/>
      <c r="C44" s="48"/>
      <c r="E44" s="49" t="s">
        <v>13</v>
      </c>
      <c r="F44" s="50">
        <f>'Data Entry'!G10</f>
        <v>50</v>
      </c>
      <c r="G44" s="128">
        <f t="shared" si="7"/>
        <v>47.57</v>
      </c>
      <c r="H44" s="137">
        <f>(H$10*$G44)-($C$11*($F44))</f>
        <v>564.9807312252965</v>
      </c>
      <c r="I44" s="137">
        <f t="shared" si="8"/>
        <v>588.7657312252965</v>
      </c>
      <c r="J44" s="137">
        <f t="shared" si="8"/>
        <v>612.5507312252965</v>
      </c>
      <c r="K44" s="137">
        <f t="shared" si="8"/>
        <v>636.3357312252965</v>
      </c>
      <c r="L44" s="137">
        <f t="shared" si="8"/>
        <v>660.1207312252965</v>
      </c>
      <c r="M44" s="137">
        <f t="shared" si="8"/>
        <v>683.9057312252964</v>
      </c>
      <c r="N44" s="138">
        <f t="shared" si="8"/>
        <v>707.6907312252965</v>
      </c>
      <c r="O44" s="156"/>
      <c r="P44"/>
      <c r="Q44"/>
      <c r="R44"/>
      <c r="S44"/>
    </row>
    <row r="45" spans="1:19" ht="13.5">
      <c r="A45" s="16"/>
      <c r="B45" s="17"/>
      <c r="C45" s="18"/>
      <c r="D45" s="18"/>
      <c r="F45" s="51">
        <f>F44+C37</f>
        <v>60</v>
      </c>
      <c r="G45" s="128">
        <f t="shared" si="7"/>
        <v>48.53699999999999</v>
      </c>
      <c r="H45" s="137">
        <f t="shared" si="8"/>
        <v>571.1393774703556</v>
      </c>
      <c r="I45" s="137">
        <f t="shared" si="8"/>
        <v>595.4078774703556</v>
      </c>
      <c r="J45" s="137">
        <f t="shared" si="8"/>
        <v>619.6763774703556</v>
      </c>
      <c r="K45" s="137">
        <f t="shared" si="8"/>
        <v>643.9448774703557</v>
      </c>
      <c r="L45" s="137">
        <f t="shared" si="8"/>
        <v>668.2133774703557</v>
      </c>
      <c r="M45" s="137">
        <f t="shared" si="8"/>
        <v>692.4818774703556</v>
      </c>
      <c r="N45" s="138">
        <f t="shared" si="8"/>
        <v>716.7503774703556</v>
      </c>
      <c r="O45" s="156"/>
      <c r="P45"/>
      <c r="Q45"/>
      <c r="R45"/>
      <c r="S45"/>
    </row>
    <row r="46" spans="1:19" ht="13.5">
      <c r="A46" s="16"/>
      <c r="B46" s="17"/>
      <c r="C46" s="52"/>
      <c r="D46" s="18"/>
      <c r="F46" s="51">
        <f>F44+2*C37</f>
        <v>70</v>
      </c>
      <c r="G46" s="128">
        <f t="shared" si="7"/>
        <v>49.403999999999996</v>
      </c>
      <c r="H46" s="137">
        <f>(H$10*$G46)-($C$11*($F46))</f>
        <v>576.048023715415</v>
      </c>
      <c r="I46" s="137">
        <f t="shared" si="8"/>
        <v>600.750023715415</v>
      </c>
      <c r="J46" s="137">
        <f t="shared" si="8"/>
        <v>625.452023715415</v>
      </c>
      <c r="K46" s="137">
        <f t="shared" si="8"/>
        <v>650.154023715415</v>
      </c>
      <c r="L46" s="137">
        <f t="shared" si="8"/>
        <v>674.856023715415</v>
      </c>
      <c r="M46" s="137">
        <f t="shared" si="8"/>
        <v>699.558023715415</v>
      </c>
      <c r="N46" s="138">
        <f t="shared" si="8"/>
        <v>724.260023715415</v>
      </c>
      <c r="O46" s="156"/>
      <c r="P46"/>
      <c r="Q46"/>
      <c r="R46"/>
      <c r="S46"/>
    </row>
    <row r="47" spans="1:19" ht="13.5">
      <c r="A47" s="16"/>
      <c r="B47" s="17"/>
      <c r="C47" s="18"/>
      <c r="D47" s="18"/>
      <c r="F47" s="51">
        <f>F44+3*C37</f>
        <v>80</v>
      </c>
      <c r="G47" s="128">
        <f t="shared" si="7"/>
        <v>50.17099999999999</v>
      </c>
      <c r="H47" s="137">
        <f t="shared" si="8"/>
        <v>579.7066699604742</v>
      </c>
      <c r="I47" s="137">
        <f t="shared" si="8"/>
        <v>604.7921699604742</v>
      </c>
      <c r="J47" s="137">
        <f t="shared" si="8"/>
        <v>629.8776699604741</v>
      </c>
      <c r="K47" s="137">
        <f t="shared" si="8"/>
        <v>654.9631699604741</v>
      </c>
      <c r="L47" s="137">
        <f t="shared" si="8"/>
        <v>680.0486699604742</v>
      </c>
      <c r="M47" s="137">
        <f t="shared" si="8"/>
        <v>705.1341699604741</v>
      </c>
      <c r="N47" s="138">
        <f t="shared" si="8"/>
        <v>730.2196699604741</v>
      </c>
      <c r="O47" s="156"/>
      <c r="P47"/>
      <c r="Q47"/>
      <c r="R47"/>
      <c r="S47"/>
    </row>
    <row r="48" spans="1:19" ht="13.5">
      <c r="A48" s="16"/>
      <c r="B48" s="17"/>
      <c r="C48" s="18"/>
      <c r="D48" s="18"/>
      <c r="F48" s="51">
        <f>F44+4*C37</f>
        <v>90</v>
      </c>
      <c r="G48" s="128">
        <f t="shared" si="7"/>
        <v>50.837999999999994</v>
      </c>
      <c r="H48" s="137">
        <f t="shared" si="8"/>
        <v>582.1153162055335</v>
      </c>
      <c r="I48" s="137">
        <f t="shared" si="8"/>
        <v>607.5343162055335</v>
      </c>
      <c r="J48" s="137">
        <f t="shared" si="8"/>
        <v>632.9533162055335</v>
      </c>
      <c r="K48" s="137">
        <f t="shared" si="8"/>
        <v>658.3723162055336</v>
      </c>
      <c r="L48" s="137">
        <f t="shared" si="8"/>
        <v>683.7913162055336</v>
      </c>
      <c r="M48" s="137">
        <f t="shared" si="8"/>
        <v>709.2103162055336</v>
      </c>
      <c r="N48" s="138">
        <f t="shared" si="8"/>
        <v>734.6293162055335</v>
      </c>
      <c r="O48" s="156"/>
      <c r="P48"/>
      <c r="Q48"/>
      <c r="R48"/>
      <c r="S48"/>
    </row>
    <row r="49" spans="1:19" ht="13.5" customHeight="1">
      <c r="A49" s="16"/>
      <c r="B49" s="17"/>
      <c r="C49" s="18"/>
      <c r="D49" s="18"/>
      <c r="F49" s="185" t="s">
        <v>110</v>
      </c>
      <c r="G49" s="178"/>
      <c r="H49" s="178"/>
      <c r="I49" s="178"/>
      <c r="J49" s="178"/>
      <c r="K49" s="178"/>
      <c r="L49" s="178"/>
      <c r="M49" s="178"/>
      <c r="N49" s="179"/>
      <c r="O49" s="156"/>
      <c r="P49"/>
      <c r="Q49"/>
      <c r="R49"/>
      <c r="S49"/>
    </row>
    <row r="50" spans="1:19" ht="9.75" customHeight="1">
      <c r="A50" s="16"/>
      <c r="B50" s="17"/>
      <c r="C50" s="18"/>
      <c r="D50" s="18"/>
      <c r="F50" s="188" t="s">
        <v>16</v>
      </c>
      <c r="G50" s="180"/>
      <c r="H50" s="180"/>
      <c r="I50" s="180"/>
      <c r="J50" s="180"/>
      <c r="K50" s="180"/>
      <c r="L50" s="180"/>
      <c r="M50" s="180"/>
      <c r="N50" s="181"/>
      <c r="O50" s="156"/>
      <c r="P50"/>
      <c r="Q50"/>
      <c r="R50"/>
      <c r="S50"/>
    </row>
    <row r="51" spans="1:19" ht="9.75" customHeight="1">
      <c r="A51" s="16"/>
      <c r="B51" s="17"/>
      <c r="C51" s="18"/>
      <c r="D51" s="18"/>
      <c r="F51" s="188" t="s">
        <v>109</v>
      </c>
      <c r="G51" s="180"/>
      <c r="H51" s="180"/>
      <c r="I51" s="180"/>
      <c r="J51" s="180"/>
      <c r="K51" s="180"/>
      <c r="L51" s="180"/>
      <c r="M51" s="180"/>
      <c r="N51" s="181"/>
      <c r="O51" s="156"/>
      <c r="P51"/>
      <c r="Q51"/>
      <c r="R51"/>
      <c r="S51"/>
    </row>
    <row r="52" spans="1:19" ht="11.25" customHeight="1">
      <c r="A52" s="16"/>
      <c r="B52" s="17"/>
      <c r="C52" s="18"/>
      <c r="D52" s="18"/>
      <c r="F52" s="79" t="s">
        <v>92</v>
      </c>
      <c r="G52" s="80"/>
      <c r="H52" s="80"/>
      <c r="I52" s="80"/>
      <c r="J52" s="80"/>
      <c r="K52" s="132"/>
      <c r="L52" s="132"/>
      <c r="M52" s="132"/>
      <c r="N52" s="171"/>
      <c r="O52" s="156"/>
      <c r="P52"/>
      <c r="Q52"/>
      <c r="R52"/>
      <c r="S52"/>
    </row>
    <row r="53" spans="1:19" ht="12" customHeight="1" thickBot="1">
      <c r="A53" s="16"/>
      <c r="B53" s="17"/>
      <c r="C53" s="18"/>
      <c r="D53" s="18"/>
      <c r="F53" s="191" t="s">
        <v>38</v>
      </c>
      <c r="G53" s="182"/>
      <c r="H53" s="183"/>
      <c r="I53" s="183"/>
      <c r="J53" s="183"/>
      <c r="K53" s="175"/>
      <c r="L53" s="175"/>
      <c r="M53" s="175"/>
      <c r="N53" s="176"/>
      <c r="O53" s="156"/>
      <c r="P53"/>
      <c r="Q53"/>
      <c r="R53"/>
      <c r="S53"/>
    </row>
    <row r="54" spans="1:19" ht="11.25" customHeight="1">
      <c r="A54" s="16"/>
      <c r="B54" s="17"/>
      <c r="C54" s="18"/>
      <c r="D54" s="18"/>
      <c r="E54" s="53"/>
      <c r="F54" s="53"/>
      <c r="G54" s="53"/>
      <c r="H54" s="53"/>
      <c r="I54" s="53"/>
      <c r="J54" s="53"/>
      <c r="K54" s="12"/>
      <c r="L54" s="12"/>
      <c r="M54" s="12"/>
      <c r="N54" s="15"/>
      <c r="O54" s="156"/>
      <c r="P54"/>
      <c r="Q54"/>
      <c r="R54"/>
      <c r="S54"/>
    </row>
    <row r="55" spans="2:19" ht="11.25" customHeight="1" thickBot="1">
      <c r="B55" s="224"/>
      <c r="C55" s="225"/>
      <c r="D55" s="225"/>
      <c r="E55" s="225"/>
      <c r="F55" s="225"/>
      <c r="G55" s="225"/>
      <c r="H55" s="225"/>
      <c r="I55" s="225"/>
      <c r="J55" s="225"/>
      <c r="K55" s="55"/>
      <c r="L55" s="55"/>
      <c r="M55" s="55"/>
      <c r="N55" s="56"/>
      <c r="O55" s="156"/>
      <c r="P55"/>
      <c r="Q55"/>
      <c r="R55"/>
      <c r="S55"/>
    </row>
    <row r="56" spans="15:19" ht="12.75">
      <c r="O56" s="156"/>
      <c r="P56"/>
      <c r="Q56"/>
      <c r="R56"/>
      <c r="S56"/>
    </row>
  </sheetData>
  <sheetProtection/>
  <mergeCells count="23">
    <mergeCell ref="H37:N37"/>
    <mergeCell ref="H13:N13"/>
    <mergeCell ref="E24:N24"/>
    <mergeCell ref="O2:Q2"/>
    <mergeCell ref="O3:Q3"/>
    <mergeCell ref="B30:J30"/>
    <mergeCell ref="E28:N28"/>
    <mergeCell ref="E29:N29"/>
    <mergeCell ref="E27:N27"/>
    <mergeCell ref="I8:M8"/>
    <mergeCell ref="B2:N2"/>
    <mergeCell ref="B3:N3"/>
    <mergeCell ref="B5:D5"/>
    <mergeCell ref="B7:C7"/>
    <mergeCell ref="H38:N38"/>
    <mergeCell ref="B55:J55"/>
    <mergeCell ref="G8:G10"/>
    <mergeCell ref="B32:C32"/>
    <mergeCell ref="G33:G35"/>
    <mergeCell ref="I33:M33"/>
    <mergeCell ref="H12:N12"/>
    <mergeCell ref="E25:N25"/>
    <mergeCell ref="E26:N26"/>
  </mergeCells>
  <conditionalFormatting sqref="N15:N23">
    <cfRule type="cellIs" priority="1" dxfId="2" operator="equal" stopIfTrue="1">
      <formula>MAX($N$15:$N$23)</formula>
    </cfRule>
    <cfRule type="cellIs" priority="2" dxfId="0" operator="between" stopIfTrue="1">
      <formula>MAX($N$15:$N$23)</formula>
      <formula>MAX($N$15:$N$23)-1</formula>
    </cfRule>
    <cfRule type="cellIs" priority="3" dxfId="0" operator="between" stopIfTrue="1">
      <formula>MAX($N$15:$N$23)</formula>
      <formula>MAX($N$15:$N$23)+1</formula>
    </cfRule>
  </conditionalFormatting>
  <conditionalFormatting sqref="H15:H23">
    <cfRule type="cellIs" priority="4" dxfId="2" operator="equal" stopIfTrue="1">
      <formula>MAX($H$15:$H$23)</formula>
    </cfRule>
    <cfRule type="cellIs" priority="5" dxfId="0" operator="between" stopIfTrue="1">
      <formula>MAX($H$15:$H$23)</formula>
      <formula>MAX($H$15:$H$23)-1</formula>
    </cfRule>
    <cfRule type="cellIs" priority="6" dxfId="0" operator="between" stopIfTrue="1">
      <formula>MAX($H$15:$H$23)</formula>
      <formula>MAX($H$15:$H$23)+1</formula>
    </cfRule>
  </conditionalFormatting>
  <conditionalFormatting sqref="I15:I23">
    <cfRule type="cellIs" priority="7" dxfId="2" operator="equal" stopIfTrue="1">
      <formula>MAX($I$15:$I$23)</formula>
    </cfRule>
    <cfRule type="cellIs" priority="8" dxfId="0" operator="between" stopIfTrue="1">
      <formula>MAX($I$15:$I$23)</formula>
      <formula>MAX($I$15:$I$23)-1</formula>
    </cfRule>
    <cfRule type="cellIs" priority="9" dxfId="0" operator="between" stopIfTrue="1">
      <formula>MAX($I$15:$I$23)</formula>
      <formula>MAX($I$15:$I$23)+1</formula>
    </cfRule>
  </conditionalFormatting>
  <conditionalFormatting sqref="J15:J23">
    <cfRule type="cellIs" priority="10" dxfId="2" operator="equal" stopIfTrue="1">
      <formula>MAX($J$15:$J$23)</formula>
    </cfRule>
    <cfRule type="cellIs" priority="11" dxfId="0" operator="between" stopIfTrue="1">
      <formula>MAX($J$15:$J$23)</formula>
      <formula>MAX($J$15:$J$23)-1</formula>
    </cfRule>
    <cfRule type="cellIs" priority="12" dxfId="0" operator="between" stopIfTrue="1">
      <formula>MAX($J$15:$J$23)</formula>
      <formula>MAX($J$15:$J$23)+1</formula>
    </cfRule>
  </conditionalFormatting>
  <conditionalFormatting sqref="K15:K23">
    <cfRule type="cellIs" priority="13" dxfId="2" operator="equal" stopIfTrue="1">
      <formula>MAX($K$15:$K$23)</formula>
    </cfRule>
    <cfRule type="cellIs" priority="14" dxfId="0" operator="between" stopIfTrue="1">
      <formula>MAX($K$15:$K$23)</formula>
      <formula>MAX($K$15:$K$23)-1</formula>
    </cfRule>
    <cfRule type="cellIs" priority="15" dxfId="0" operator="between" stopIfTrue="1">
      <formula>MAX($K$15:$K$23)</formula>
      <formula>MAX($K$15:$K$23)+1</formula>
    </cfRule>
  </conditionalFormatting>
  <conditionalFormatting sqref="L15:L23">
    <cfRule type="cellIs" priority="16" dxfId="2" operator="equal" stopIfTrue="1">
      <formula>MAX($L$15:$L$23)</formula>
    </cfRule>
    <cfRule type="cellIs" priority="17" dxfId="0" operator="between" stopIfTrue="1">
      <formula>MAX($L$15:$L$23)</formula>
      <formula>MAX($L$15:$L$23)-1</formula>
    </cfRule>
    <cfRule type="cellIs" priority="18" dxfId="0" operator="between" stopIfTrue="1">
      <formula>MAX($L$15:$L$23)</formula>
      <formula>MAX($L$15:$L$23)+1</formula>
    </cfRule>
  </conditionalFormatting>
  <conditionalFormatting sqref="M15:M23">
    <cfRule type="cellIs" priority="19" dxfId="2" operator="equal" stopIfTrue="1">
      <formula>MAX($M$15:$M$23)</formula>
    </cfRule>
    <cfRule type="cellIs" priority="20" dxfId="0" operator="between" stopIfTrue="1">
      <formula>MAX($M$15:$M$23)</formula>
      <formula>MAX($M$15:$M$23)-1</formula>
    </cfRule>
    <cfRule type="cellIs" priority="21" dxfId="0" operator="between" stopIfTrue="1">
      <formula>MAX($M$15:$M$23)</formula>
      <formula>MAX($M$15:$M$23)+1</formula>
    </cfRule>
  </conditionalFormatting>
  <conditionalFormatting sqref="H40:H48">
    <cfRule type="cellIs" priority="22" dxfId="2" operator="equal" stopIfTrue="1">
      <formula>MAX($H$39:$H$47)</formula>
    </cfRule>
    <cfRule type="cellIs" priority="23" dxfId="0" operator="between" stopIfTrue="1">
      <formula>MAX($H$39:$H$47)</formula>
      <formula>MAX($H$39:$H$49)-1</formula>
    </cfRule>
    <cfRule type="cellIs" priority="24" dxfId="0" operator="between" stopIfTrue="1">
      <formula>MAX($H$39:$H$47)</formula>
      <formula>MAX($H$39:$H$49)+1</formula>
    </cfRule>
  </conditionalFormatting>
  <conditionalFormatting sqref="I40:I48">
    <cfRule type="cellIs" priority="25" dxfId="2" operator="equal" stopIfTrue="1">
      <formula>MAX($I$39:$I$47)</formula>
    </cfRule>
    <cfRule type="cellIs" priority="26" dxfId="0" operator="between" stopIfTrue="1">
      <formula>MAX($I$39:$I$47)</formula>
      <formula>MAX($I$39:$I$47)-1</formula>
    </cfRule>
    <cfRule type="cellIs" priority="27" dxfId="0" operator="between" stopIfTrue="1">
      <formula>MAX($I$39:$I$47)</formula>
      <formula>MAX($I$39:$I$47)+1</formula>
    </cfRule>
  </conditionalFormatting>
  <conditionalFormatting sqref="J40:J48">
    <cfRule type="cellIs" priority="28" dxfId="2" operator="equal" stopIfTrue="1">
      <formula>MAX($J$39:$J$47)</formula>
    </cfRule>
    <cfRule type="cellIs" priority="29" dxfId="0" operator="between" stopIfTrue="1">
      <formula>MAX($J$39:$J$47)</formula>
      <formula>MAX($J$39:$J$47)-1</formula>
    </cfRule>
    <cfRule type="cellIs" priority="30" dxfId="0" operator="between" stopIfTrue="1">
      <formula>MAX($J$39:$J$47)</formula>
      <formula>MAX($J$39:$J$47)+1</formula>
    </cfRule>
  </conditionalFormatting>
  <conditionalFormatting sqref="K40:K48">
    <cfRule type="cellIs" priority="31" dxfId="2" operator="equal" stopIfTrue="1">
      <formula>MAX($K$39:$K$47)</formula>
    </cfRule>
    <cfRule type="cellIs" priority="32" dxfId="0" operator="between" stopIfTrue="1">
      <formula>MAX($K$39:$K$47)</formula>
      <formula>MAX($K$39:$K$47)-1</formula>
    </cfRule>
    <cfRule type="cellIs" priority="33" dxfId="0" operator="between" stopIfTrue="1">
      <formula>MAX($K$39:$K$47)</formula>
      <formula>MAX($K$39:$K$47)+1</formula>
    </cfRule>
  </conditionalFormatting>
  <conditionalFormatting sqref="L40:L48">
    <cfRule type="cellIs" priority="34" dxfId="2" operator="equal" stopIfTrue="1">
      <formula>MAX($L$39:$L$47)</formula>
    </cfRule>
    <cfRule type="cellIs" priority="35" dxfId="0" operator="between" stopIfTrue="1">
      <formula>MAX($L$39:$L$47)</formula>
      <formula>MAX($L$39:$L$47)-1</formula>
    </cfRule>
    <cfRule type="cellIs" priority="36" dxfId="0" operator="between" stopIfTrue="1">
      <formula>MAX($L$39:$L$47)</formula>
      <formula>MAX($L$39:$L$47)+1</formula>
    </cfRule>
  </conditionalFormatting>
  <conditionalFormatting sqref="M40:M48">
    <cfRule type="cellIs" priority="37" dxfId="2" operator="equal" stopIfTrue="1">
      <formula>MAX($M$39:$M$47)</formula>
    </cfRule>
    <cfRule type="cellIs" priority="38" dxfId="0" operator="between" stopIfTrue="1">
      <formula>MAX($M$39:$M$47)</formula>
      <formula>MAX($M$39:$M$47)-1</formula>
    </cfRule>
    <cfRule type="cellIs" priority="39" dxfId="0" operator="between" stopIfTrue="1">
      <formula>MAX($M$39:$M$47)</formula>
      <formula>MAX($M$39:$M$47)+1</formula>
    </cfRule>
  </conditionalFormatting>
  <conditionalFormatting sqref="N40:N48">
    <cfRule type="cellIs" priority="40" dxfId="2" operator="equal" stopIfTrue="1">
      <formula>MAX($N$39:$N$47)</formula>
    </cfRule>
    <cfRule type="cellIs" priority="41" dxfId="0" operator="between" stopIfTrue="1">
      <formula>MAX($N$39:$N$47)</formula>
      <formula>MAX($N$39:$N$47)-1</formula>
    </cfRule>
    <cfRule type="cellIs" priority="42" dxfId="0" operator="between" stopIfTrue="1">
      <formula>MAX($N$39:$N$47)</formula>
      <formula>MAX($N$39:$N$47)+1</formula>
    </cfRule>
  </conditionalFormatting>
  <hyperlinks>
    <hyperlink ref="O2:Q2" location="'Canola (hybrid) MR'!A1" display="Go to Marginal Return Chart"/>
    <hyperlink ref="O3:Q3" location="'Canola (hybrid) Fertilizer'!A1" display="Go to Fertilizer as variable"/>
    <hyperlink ref="O5" location="'Data Entry'!A1" display="Return to Data Entry"/>
    <hyperlink ref="G33" location="'Wheat crop price'!D47" display="Go to Total Net Return"/>
    <hyperlink ref="G33:G35" location="'Canola (hybrid) Crop'!D1" display="Return to Net Return"/>
    <hyperlink ref="G8" location="'Wheat crop price'!D47" display="Go to Total Net Return"/>
    <hyperlink ref="G8:G10" location="'Canola (hybrid) Crop'!D53" display="Go to Total Net Return Below"/>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Western Co-Operative Fertilizers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Karamanos, Rigas</cp:lastModifiedBy>
  <dcterms:created xsi:type="dcterms:W3CDTF">2005-11-14T20:49:37Z</dcterms:created>
  <dcterms:modified xsi:type="dcterms:W3CDTF">2018-04-23T15:05:18Z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